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840" windowHeight="8955"/>
  </bookViews>
  <sheets>
    <sheet name="Instructions" sheetId="13" r:id="rId1"/>
    <sheet name="Existing Design" sheetId="11" r:id="rId2"/>
    <sheet name="GP Calcs" sheetId="12" r:id="rId3"/>
    <sheet name="New Comp Design" sheetId="8" r:id="rId4"/>
    <sheet name="GP Calcs (2)" sheetId="9" r:id="rId5"/>
  </sheets>
  <definedNames>
    <definedName name="AIea_">'New Comp Design'!$C$19</definedName>
    <definedName name="AImod_">'New Comp Design'!$C$17</definedName>
    <definedName name="AVdiv_">'New Comp Design'!$C$24</definedName>
    <definedName name="AVea_">'New Comp Design'!$C$20</definedName>
    <definedName name="AVmodDC_">'New Comp Design'!$C$26</definedName>
    <definedName name="AVtotDC_">'New Comp Design'!$C$27</definedName>
    <definedName name="Cc_">'New Comp Design'!$C$13</definedName>
    <definedName name="Co_">'New Comp Design'!$C$8</definedName>
    <definedName name="ESR_">'New Comp Design'!$C$9</definedName>
    <definedName name="Fco_">'New Comp Design'!$C$4</definedName>
    <definedName name="Fpco_">'New Comp Design'!$C$29</definedName>
    <definedName name="FPea1_">'New Comp Design'!$C$32</definedName>
    <definedName name="FPea2_">'New Comp Design'!$C$33</definedName>
    <definedName name="FPo_">'New Comp Design'!$C$30</definedName>
    <definedName name="Fzea_">'New Comp Design'!$C$34</definedName>
    <definedName name="Fzo_">'New Comp Design'!$C$31</definedName>
    <definedName name="GtotDC_">'New Comp Design'!$C$28</definedName>
    <definedName name="Iomax_">'New Comp Design'!$C$7</definedName>
    <definedName name="RCx_">'New Comp Design'!$C$12</definedName>
    <definedName name="Rld_">'New Comp Design'!$C$25</definedName>
    <definedName name="Rlim_">'New Comp Design'!$C$18</definedName>
    <definedName name="V0ut_">'New Comp Design'!$C$4</definedName>
    <definedName name="Vout_">'New Comp Design'!$C$6</definedName>
    <definedName name="Vref_">'New Comp Design'!$C$21</definedName>
  </definedNames>
  <calcPr calcId="125725"/>
</workbook>
</file>

<file path=xl/calcChain.xml><?xml version="1.0" encoding="utf-8"?>
<calcChain xmlns="http://schemas.openxmlformats.org/spreadsheetml/2006/main">
  <c r="C29" i="11"/>
  <c r="R28" s="1"/>
  <c r="C17" i="8" l="1"/>
  <c r="C14" i="11"/>
  <c r="P8" i="9" l="1"/>
  <c r="O8"/>
  <c r="N8"/>
  <c r="M8"/>
  <c r="G8" l="1"/>
  <c r="F8"/>
  <c r="E8"/>
  <c r="D8"/>
  <c r="Q7" l="1"/>
  <c r="P7"/>
  <c r="O7"/>
  <c r="N7"/>
  <c r="M7"/>
  <c r="L7"/>
  <c r="H7"/>
  <c r="G7"/>
  <c r="F7"/>
  <c r="E7"/>
  <c r="D7"/>
  <c r="C7"/>
  <c r="R5"/>
  <c r="P5"/>
  <c r="O5"/>
  <c r="M5"/>
  <c r="L5"/>
  <c r="K5"/>
  <c r="R4"/>
  <c r="Q4"/>
  <c r="N4"/>
  <c r="L4"/>
  <c r="K4"/>
  <c r="P3"/>
  <c r="O3"/>
  <c r="N3"/>
  <c r="M3"/>
  <c r="H8"/>
  <c r="R2"/>
  <c r="Q2"/>
  <c r="P2"/>
  <c r="O2"/>
  <c r="N2"/>
  <c r="M2"/>
  <c r="L2"/>
  <c r="K2"/>
  <c r="C31" i="8"/>
  <c r="C25"/>
  <c r="C26" s="1"/>
  <c r="C24"/>
  <c r="L69" i="12"/>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R8"/>
  <c r="Q8"/>
  <c r="P8"/>
  <c r="O8"/>
  <c r="N8"/>
  <c r="M8"/>
  <c r="L8"/>
  <c r="H8"/>
  <c r="G8"/>
  <c r="F8"/>
  <c r="E8"/>
  <c r="D8"/>
  <c r="Q7"/>
  <c r="P7"/>
  <c r="O7"/>
  <c r="N7"/>
  <c r="M7"/>
  <c r="L7"/>
  <c r="H7"/>
  <c r="G7"/>
  <c r="F7"/>
  <c r="E7"/>
  <c r="D7"/>
  <c r="C7"/>
  <c r="R5"/>
  <c r="P5"/>
  <c r="O5"/>
  <c r="M5"/>
  <c r="L5"/>
  <c r="K5"/>
  <c r="R4"/>
  <c r="Q4"/>
  <c r="N4"/>
  <c r="L4"/>
  <c r="K4"/>
  <c r="R2"/>
  <c r="Q2"/>
  <c r="P2"/>
  <c r="O2"/>
  <c r="N2"/>
  <c r="M2"/>
  <c r="L2"/>
  <c r="K2"/>
  <c r="C30" i="11"/>
  <c r="H5" i="12" s="1"/>
  <c r="C28" i="11"/>
  <c r="F4" i="12" s="1"/>
  <c r="C27" i="11"/>
  <c r="C22"/>
  <c r="C23" s="1"/>
  <c r="C21"/>
  <c r="E5" i="12" l="1"/>
  <c r="E9" s="1"/>
  <c r="C26" i="11"/>
  <c r="D4" i="12" s="1"/>
  <c r="M4" s="1"/>
  <c r="M9" s="1"/>
  <c r="G4"/>
  <c r="G9" s="1"/>
  <c r="C30" i="8"/>
  <c r="D4" i="9" s="1"/>
  <c r="M4" s="1"/>
  <c r="N5" i="12"/>
  <c r="Q5"/>
  <c r="Q9" s="1"/>
  <c r="F9"/>
  <c r="H9"/>
  <c r="E5" i="9"/>
  <c r="E9" s="1"/>
  <c r="D9" i="12" l="1"/>
  <c r="P4"/>
  <c r="M9" i="9"/>
  <c r="N9" i="12"/>
  <c r="N10" s="1"/>
  <c r="M10" s="1"/>
  <c r="O4"/>
  <c r="O9" s="1"/>
  <c r="P9"/>
  <c r="P10" s="1"/>
  <c r="N5" i="9"/>
  <c r="N9" s="1"/>
  <c r="Q3"/>
  <c r="D9"/>
  <c r="O10" i="12" l="1"/>
  <c r="P11"/>
  <c r="P12" s="1"/>
  <c r="O11"/>
  <c r="N11"/>
  <c r="M11" s="1"/>
  <c r="O12" l="1"/>
  <c r="N12" s="1"/>
  <c r="M12" s="1"/>
  <c r="P13"/>
  <c r="O13" l="1"/>
  <c r="N13" s="1"/>
  <c r="M13" s="1"/>
  <c r="P14"/>
  <c r="O14" l="1"/>
  <c r="N14" s="1"/>
  <c r="M14" s="1"/>
  <c r="P15"/>
  <c r="O15" l="1"/>
  <c r="N15" s="1"/>
  <c r="M15" s="1"/>
  <c r="P16"/>
  <c r="O16" l="1"/>
  <c r="N16" s="1"/>
  <c r="M16" s="1"/>
  <c r="P17"/>
  <c r="O17" l="1"/>
  <c r="N17" s="1"/>
  <c r="M17" s="1"/>
  <c r="P18"/>
  <c r="O18" l="1"/>
  <c r="N18" s="1"/>
  <c r="M18" s="1"/>
  <c r="P19"/>
  <c r="O19" l="1"/>
  <c r="N19" s="1"/>
  <c r="M19" s="1"/>
  <c r="P20"/>
  <c r="O20" l="1"/>
  <c r="N20" s="1"/>
  <c r="M20" s="1"/>
  <c r="P21"/>
  <c r="O21" l="1"/>
  <c r="N21" s="1"/>
  <c r="M21" s="1"/>
  <c r="P22"/>
  <c r="O22" l="1"/>
  <c r="N22" s="1"/>
  <c r="M22" s="1"/>
  <c r="P23"/>
  <c r="O23" l="1"/>
  <c r="N23" s="1"/>
  <c r="M23" s="1"/>
  <c r="P24"/>
  <c r="O24" l="1"/>
  <c r="N24" s="1"/>
  <c r="M24" s="1"/>
  <c r="P25"/>
  <c r="O25" l="1"/>
  <c r="N25" s="1"/>
  <c r="M25" s="1"/>
  <c r="P26"/>
  <c r="O26" l="1"/>
  <c r="N26" s="1"/>
  <c r="M26" s="1"/>
  <c r="P27"/>
  <c r="O27" l="1"/>
  <c r="N27" s="1"/>
  <c r="M27" s="1"/>
  <c r="P28"/>
  <c r="O28" l="1"/>
  <c r="N28" s="1"/>
  <c r="M28" s="1"/>
  <c r="P29"/>
  <c r="O29" l="1"/>
  <c r="N29" s="1"/>
  <c r="M29" s="1"/>
  <c r="P30"/>
  <c r="O30" l="1"/>
  <c r="N30" s="1"/>
  <c r="M30" s="1"/>
  <c r="P31"/>
  <c r="O31" l="1"/>
  <c r="N31" s="1"/>
  <c r="M31" s="1"/>
  <c r="P32"/>
  <c r="O32" l="1"/>
  <c r="N32" s="1"/>
  <c r="M32" s="1"/>
  <c r="P33"/>
  <c r="O33" l="1"/>
  <c r="N33" s="1"/>
  <c r="M33" s="1"/>
  <c r="P34"/>
  <c r="O34" l="1"/>
  <c r="N34" s="1"/>
  <c r="M34" s="1"/>
  <c r="P35"/>
  <c r="O35" l="1"/>
  <c r="N35" s="1"/>
  <c r="M35" s="1"/>
  <c r="P36"/>
  <c r="O36" l="1"/>
  <c r="N36" s="1"/>
  <c r="M36" s="1"/>
  <c r="P37"/>
  <c r="O37" l="1"/>
  <c r="N37" s="1"/>
  <c r="M37" s="1"/>
  <c r="P38"/>
  <c r="O38" l="1"/>
  <c r="N38" s="1"/>
  <c r="M38" s="1"/>
  <c r="P39"/>
  <c r="O39" l="1"/>
  <c r="N39" s="1"/>
  <c r="M39" s="1"/>
  <c r="P40"/>
  <c r="O40" l="1"/>
  <c r="N40" s="1"/>
  <c r="M40" s="1"/>
  <c r="P41"/>
  <c r="O41" l="1"/>
  <c r="N41" s="1"/>
  <c r="M41" s="1"/>
  <c r="P42"/>
  <c r="O42" l="1"/>
  <c r="N42" s="1"/>
  <c r="M42" s="1"/>
  <c r="P43"/>
  <c r="O43" l="1"/>
  <c r="N43" s="1"/>
  <c r="M43" s="1"/>
  <c r="P44"/>
  <c r="O44" l="1"/>
  <c r="N44" s="1"/>
  <c r="M44" s="1"/>
  <c r="P45"/>
  <c r="O45" l="1"/>
  <c r="N45" s="1"/>
  <c r="M45" s="1"/>
  <c r="P46"/>
  <c r="O46" l="1"/>
  <c r="N46" s="1"/>
  <c r="M46" s="1"/>
  <c r="P47"/>
  <c r="O47" l="1"/>
  <c r="N47" s="1"/>
  <c r="M47" s="1"/>
  <c r="P48"/>
  <c r="O48" l="1"/>
  <c r="N48" s="1"/>
  <c r="M48" s="1"/>
  <c r="P49"/>
  <c r="O49" l="1"/>
  <c r="N49" s="1"/>
  <c r="M49" s="1"/>
  <c r="P50"/>
  <c r="O50" l="1"/>
  <c r="N50" s="1"/>
  <c r="M50" s="1"/>
  <c r="P51"/>
  <c r="O51" l="1"/>
  <c r="N51" s="1"/>
  <c r="M51" s="1"/>
  <c r="P52"/>
  <c r="O52" l="1"/>
  <c r="N52" s="1"/>
  <c r="M52" s="1"/>
  <c r="P53"/>
  <c r="O53" l="1"/>
  <c r="N53" s="1"/>
  <c r="M53" s="1"/>
  <c r="P54"/>
  <c r="O54" l="1"/>
  <c r="N54" s="1"/>
  <c r="M54" s="1"/>
  <c r="P55"/>
  <c r="O55" l="1"/>
  <c r="N55" s="1"/>
  <c r="M55" s="1"/>
  <c r="P56"/>
  <c r="O56" l="1"/>
  <c r="N56" s="1"/>
  <c r="M56" s="1"/>
  <c r="P57"/>
  <c r="O57" l="1"/>
  <c r="N57" s="1"/>
  <c r="M57" s="1"/>
  <c r="P58"/>
  <c r="O58" l="1"/>
  <c r="N58" s="1"/>
  <c r="M58" s="1"/>
  <c r="P59"/>
  <c r="O59" l="1"/>
  <c r="N59" s="1"/>
  <c r="M59" s="1"/>
  <c r="P60"/>
  <c r="O60" l="1"/>
  <c r="N60" s="1"/>
  <c r="M60" s="1"/>
  <c r="P61"/>
  <c r="O61" l="1"/>
  <c r="N61" s="1"/>
  <c r="M61" s="1"/>
  <c r="P62"/>
  <c r="O62" l="1"/>
  <c r="N62" s="1"/>
  <c r="M62" s="1"/>
  <c r="P63"/>
  <c r="O63" l="1"/>
  <c r="N63" s="1"/>
  <c r="M63" s="1"/>
  <c r="P64"/>
  <c r="O64" l="1"/>
  <c r="N64" s="1"/>
  <c r="M64" s="1"/>
  <c r="P65"/>
  <c r="O65" l="1"/>
  <c r="N65" s="1"/>
  <c r="M65" s="1"/>
  <c r="P66"/>
  <c r="O66" l="1"/>
  <c r="N66" s="1"/>
  <c r="M66" s="1"/>
  <c r="P67"/>
  <c r="O67" l="1"/>
  <c r="N67" s="1"/>
  <c r="M67" s="1"/>
  <c r="P68"/>
  <c r="O68" l="1"/>
  <c r="N68" s="1"/>
  <c r="M68" s="1"/>
  <c r="P69"/>
  <c r="Q10"/>
  <c r="M10" i="9"/>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67" s="1"/>
  <c r="M68" s="1"/>
  <c r="M69" s="1"/>
  <c r="D10" i="12"/>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E10"/>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F10"/>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G10"/>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H10"/>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C33" i="8"/>
  <c r="G4" i="9" s="1"/>
  <c r="C27" i="8"/>
  <c r="C29" s="1"/>
  <c r="C32" s="1"/>
  <c r="C34"/>
  <c r="H5" i="9" s="1"/>
  <c r="R9" i="12"/>
  <c r="Q8" i="9"/>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E10"/>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N10"/>
  <c r="N11" s="1"/>
  <c r="N12" s="1"/>
  <c r="N13" s="1"/>
  <c r="N14" s="1"/>
  <c r="N15" s="1"/>
  <c r="N16" s="1"/>
  <c r="N17" s="1"/>
  <c r="N18" s="1"/>
  <c r="N19" s="1"/>
  <c r="N20" s="1"/>
  <c r="N21" s="1"/>
  <c r="N22" s="1"/>
  <c r="N23" s="1"/>
  <c r="N24" s="1"/>
  <c r="N25" s="1"/>
  <c r="N26" s="1"/>
  <c r="N27" s="1"/>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N58" s="1"/>
  <c r="N59" s="1"/>
  <c r="N60" s="1"/>
  <c r="N61" s="1"/>
  <c r="N62" s="1"/>
  <c r="N63" s="1"/>
  <c r="N64" s="1"/>
  <c r="N65" s="1"/>
  <c r="N66" s="1"/>
  <c r="N67" s="1"/>
  <c r="N68" s="1"/>
  <c r="N69" s="1"/>
  <c r="C28" i="8" l="1"/>
  <c r="C3" i="9" s="1"/>
  <c r="L3" s="1"/>
  <c r="L8" s="1"/>
  <c r="G9"/>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P4"/>
  <c r="F4"/>
  <c r="C12" i="8"/>
  <c r="H9" i="9"/>
  <c r="Q5"/>
  <c r="Q9" s="1"/>
  <c r="H10"/>
  <c r="H11" s="1"/>
  <c r="H12" s="1"/>
  <c r="Q11" i="12"/>
  <c r="R10"/>
  <c r="O69"/>
  <c r="N69" s="1"/>
  <c r="M69" s="1"/>
  <c r="C8" i="9" l="1"/>
  <c r="Q10"/>
  <c r="Q11" s="1"/>
  <c r="P9"/>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P45" s="1"/>
  <c r="P46" s="1"/>
  <c r="P47" s="1"/>
  <c r="P48" s="1"/>
  <c r="P49" s="1"/>
  <c r="P50" s="1"/>
  <c r="P51" s="1"/>
  <c r="P52" s="1"/>
  <c r="P53" s="1"/>
  <c r="P54" s="1"/>
  <c r="P55" s="1"/>
  <c r="P56" s="1"/>
  <c r="P57" s="1"/>
  <c r="P58" s="1"/>
  <c r="P59" s="1"/>
  <c r="P60" s="1"/>
  <c r="P61" s="1"/>
  <c r="P62" s="1"/>
  <c r="P63" s="1"/>
  <c r="P64" s="1"/>
  <c r="P65" s="1"/>
  <c r="P66" s="1"/>
  <c r="P67" s="1"/>
  <c r="P68" s="1"/>
  <c r="P69" s="1"/>
  <c r="H13"/>
  <c r="I8"/>
  <c r="J8" s="1"/>
  <c r="C9"/>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14" i="8"/>
  <c r="C13"/>
  <c r="L9" i="9"/>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R8"/>
  <c r="O4"/>
  <c r="F9"/>
  <c r="I9" s="1"/>
  <c r="Q12" i="12"/>
  <c r="R11"/>
  <c r="F10" i="9" l="1"/>
  <c r="F11" s="1"/>
  <c r="I11" s="1"/>
  <c r="J9"/>
  <c r="F12"/>
  <c r="O9"/>
  <c r="O10" s="1"/>
  <c r="R10" s="1"/>
  <c r="H14"/>
  <c r="I10"/>
  <c r="J10" s="1"/>
  <c r="Q13" i="12"/>
  <c r="R12"/>
  <c r="Q12" i="9"/>
  <c r="R9" l="1"/>
  <c r="H15"/>
  <c r="F13"/>
  <c r="I12"/>
  <c r="J12" s="1"/>
  <c r="O11"/>
  <c r="J11"/>
  <c r="Q14" i="12"/>
  <c r="R13"/>
  <c r="Q13" i="9"/>
  <c r="H16" l="1"/>
  <c r="O12"/>
  <c r="R11"/>
  <c r="F14"/>
  <c r="I13"/>
  <c r="J13" s="1"/>
  <c r="Q15" i="12"/>
  <c r="R14"/>
  <c r="Q14" i="9"/>
  <c r="F15" l="1"/>
  <c r="I14"/>
  <c r="J14" s="1"/>
  <c r="O13"/>
  <c r="R12"/>
  <c r="H17"/>
  <c r="Q16" i="12"/>
  <c r="R15"/>
  <c r="Q15" i="9"/>
  <c r="O14" l="1"/>
  <c r="R13"/>
  <c r="F16"/>
  <c r="I15"/>
  <c r="J15" s="1"/>
  <c r="H18"/>
  <c r="Q17" i="12"/>
  <c r="R16"/>
  <c r="Q16" i="9"/>
  <c r="F17" l="1"/>
  <c r="I16"/>
  <c r="J16" s="1"/>
  <c r="H19"/>
  <c r="O15"/>
  <c r="R14"/>
  <c r="Q18" i="12"/>
  <c r="R17"/>
  <c r="Q17" i="9"/>
  <c r="O16" l="1"/>
  <c r="R15"/>
  <c r="F18"/>
  <c r="I17"/>
  <c r="J17" s="1"/>
  <c r="H20"/>
  <c r="Q19" i="12"/>
  <c r="R18"/>
  <c r="Q18" i="9"/>
  <c r="F19" l="1"/>
  <c r="I18"/>
  <c r="J18" s="1"/>
  <c r="O17"/>
  <c r="R16"/>
  <c r="H21"/>
  <c r="Q20" i="12"/>
  <c r="R19"/>
  <c r="Q19" i="9"/>
  <c r="O18" l="1"/>
  <c r="R17"/>
  <c r="F20"/>
  <c r="I19"/>
  <c r="J19" s="1"/>
  <c r="H22"/>
  <c r="Q21" i="12"/>
  <c r="R20"/>
  <c r="Q20" i="9"/>
  <c r="F21" l="1"/>
  <c r="I20"/>
  <c r="J20" s="1"/>
  <c r="O19"/>
  <c r="R18"/>
  <c r="H23"/>
  <c r="Q22" i="12"/>
  <c r="R21"/>
  <c r="Q21" i="9"/>
  <c r="H24" l="1"/>
  <c r="O20"/>
  <c r="R19"/>
  <c r="F22"/>
  <c r="I21"/>
  <c r="J21" s="1"/>
  <c r="Q23" i="12"/>
  <c r="R22"/>
  <c r="Q22" i="9"/>
  <c r="H25" l="1"/>
  <c r="F23"/>
  <c r="I22"/>
  <c r="J22" s="1"/>
  <c r="O21"/>
  <c r="R20"/>
  <c r="Q24" i="12"/>
  <c r="R23"/>
  <c r="Q23" i="9"/>
  <c r="H26" l="1"/>
  <c r="O22"/>
  <c r="R21"/>
  <c r="F24"/>
  <c r="I23"/>
  <c r="J23" s="1"/>
  <c r="Q25" i="12"/>
  <c r="R24"/>
  <c r="Q24" i="9"/>
  <c r="H27" l="1"/>
  <c r="F25"/>
  <c r="I24"/>
  <c r="J24" s="1"/>
  <c r="O23"/>
  <c r="R22"/>
  <c r="Q26" i="12"/>
  <c r="R25"/>
  <c r="Q25" i="9"/>
  <c r="H28" l="1"/>
  <c r="O24"/>
  <c r="R23"/>
  <c r="F26"/>
  <c r="I25"/>
  <c r="J25" s="1"/>
  <c r="Q27" i="12"/>
  <c r="R26"/>
  <c r="Q26" i="9"/>
  <c r="H29" l="1"/>
  <c r="F27"/>
  <c r="I26"/>
  <c r="J26" s="1"/>
  <c r="O25"/>
  <c r="R24"/>
  <c r="Q28" i="12"/>
  <c r="R27"/>
  <c r="Q27" i="9"/>
  <c r="H30" l="1"/>
  <c r="O26"/>
  <c r="R25"/>
  <c r="F28"/>
  <c r="I27"/>
  <c r="J27" s="1"/>
  <c r="Q29" i="12"/>
  <c r="R28"/>
  <c r="Q28" i="9"/>
  <c r="H31" l="1"/>
  <c r="F29"/>
  <c r="I28"/>
  <c r="J28" s="1"/>
  <c r="O27"/>
  <c r="R26"/>
  <c r="Q30" i="12"/>
  <c r="R29"/>
  <c r="Q29" i="9"/>
  <c r="H32" l="1"/>
  <c r="O28"/>
  <c r="R27"/>
  <c r="F30"/>
  <c r="I29"/>
  <c r="J29" s="1"/>
  <c r="Q31" i="12"/>
  <c r="R30"/>
  <c r="Q30" i="9"/>
  <c r="H33" l="1"/>
  <c r="F31"/>
  <c r="I30"/>
  <c r="J30" s="1"/>
  <c r="O29"/>
  <c r="R28"/>
  <c r="Q32" i="12"/>
  <c r="R31"/>
  <c r="Q31" i="9"/>
  <c r="H34" l="1"/>
  <c r="O30"/>
  <c r="R29"/>
  <c r="F32"/>
  <c r="I31"/>
  <c r="J31" s="1"/>
  <c r="Q33" i="12"/>
  <c r="R32"/>
  <c r="Q32" i="9"/>
  <c r="H35" l="1"/>
  <c r="F33"/>
  <c r="I32"/>
  <c r="J32" s="1"/>
  <c r="O31"/>
  <c r="R30"/>
  <c r="Q34" i="12"/>
  <c r="R33"/>
  <c r="Q33" i="9"/>
  <c r="H36" l="1"/>
  <c r="O32"/>
  <c r="R31"/>
  <c r="F34"/>
  <c r="I33"/>
  <c r="J33" s="1"/>
  <c r="Q35" i="12"/>
  <c r="R34"/>
  <c r="Q34" i="9"/>
  <c r="H37" l="1"/>
  <c r="F35"/>
  <c r="I34"/>
  <c r="J34" s="1"/>
  <c r="O33"/>
  <c r="R32"/>
  <c r="Q36" i="12"/>
  <c r="R35"/>
  <c r="Q35" i="9"/>
  <c r="H38" l="1"/>
  <c r="O34"/>
  <c r="R33"/>
  <c r="F36"/>
  <c r="I35"/>
  <c r="J35" s="1"/>
  <c r="Q37" i="12"/>
  <c r="R36"/>
  <c r="Q36" i="9"/>
  <c r="H39" l="1"/>
  <c r="F37"/>
  <c r="I36"/>
  <c r="J36" s="1"/>
  <c r="O35"/>
  <c r="R34"/>
  <c r="Q38" i="12"/>
  <c r="R37"/>
  <c r="Q37" i="9"/>
  <c r="H40" l="1"/>
  <c r="O36"/>
  <c r="R35"/>
  <c r="F38"/>
  <c r="I37"/>
  <c r="J37" s="1"/>
  <c r="Q39" i="12"/>
  <c r="R38"/>
  <c r="Q38" i="9"/>
  <c r="H41" l="1"/>
  <c r="F39"/>
  <c r="I38"/>
  <c r="J38" s="1"/>
  <c r="O37"/>
  <c r="R36"/>
  <c r="Q40" i="12"/>
  <c r="R39"/>
  <c r="Q39" i="9"/>
  <c r="H42" l="1"/>
  <c r="O38"/>
  <c r="R37"/>
  <c r="F40"/>
  <c r="I39"/>
  <c r="J39" s="1"/>
  <c r="Q41" i="12"/>
  <c r="R40"/>
  <c r="Q40" i="9"/>
  <c r="H43" l="1"/>
  <c r="F41"/>
  <c r="I40"/>
  <c r="J40" s="1"/>
  <c r="O39"/>
  <c r="R38"/>
  <c r="Q42" i="12"/>
  <c r="R41"/>
  <c r="Q41" i="9"/>
  <c r="H44" l="1"/>
  <c r="O40"/>
  <c r="R39"/>
  <c r="F42"/>
  <c r="I41"/>
  <c r="J41" s="1"/>
  <c r="Q43" i="12"/>
  <c r="R42"/>
  <c r="Q42" i="9"/>
  <c r="H45" l="1"/>
  <c r="F43"/>
  <c r="I42"/>
  <c r="J42" s="1"/>
  <c r="O41"/>
  <c r="R40"/>
  <c r="Q44" i="12"/>
  <c r="R43"/>
  <c r="Q43" i="9"/>
  <c r="H46" l="1"/>
  <c r="O42"/>
  <c r="R41"/>
  <c r="F44"/>
  <c r="I43"/>
  <c r="J43" s="1"/>
  <c r="Q45" i="12"/>
  <c r="R44"/>
  <c r="Q44" i="9"/>
  <c r="H47" l="1"/>
  <c r="F45"/>
  <c r="I44"/>
  <c r="J44" s="1"/>
  <c r="O43"/>
  <c r="R42"/>
  <c r="Q46" i="12"/>
  <c r="R45"/>
  <c r="Q45" i="9"/>
  <c r="H48" l="1"/>
  <c r="O44"/>
  <c r="R43"/>
  <c r="F46"/>
  <c r="I45"/>
  <c r="J45" s="1"/>
  <c r="Q47" i="12"/>
  <c r="R46"/>
  <c r="Q46" i="9"/>
  <c r="H49" l="1"/>
  <c r="F47"/>
  <c r="I46"/>
  <c r="J46" s="1"/>
  <c r="O45"/>
  <c r="R44"/>
  <c r="Q48" i="12"/>
  <c r="R47"/>
  <c r="Q47" i="9"/>
  <c r="H50" l="1"/>
  <c r="O46"/>
  <c r="R45"/>
  <c r="F48"/>
  <c r="I47"/>
  <c r="J47" s="1"/>
  <c r="Q49" i="12"/>
  <c r="R48"/>
  <c r="Q48" i="9"/>
  <c r="H51" l="1"/>
  <c r="F49"/>
  <c r="I48"/>
  <c r="J48" s="1"/>
  <c r="O47"/>
  <c r="R46"/>
  <c r="Q50" i="12"/>
  <c r="R49"/>
  <c r="Q49" i="9"/>
  <c r="H52" l="1"/>
  <c r="O48"/>
  <c r="R47"/>
  <c r="F50"/>
  <c r="I49"/>
  <c r="J49" s="1"/>
  <c r="Q51" i="12"/>
  <c r="R50"/>
  <c r="Q50" i="9"/>
  <c r="H53" l="1"/>
  <c r="F51"/>
  <c r="I50"/>
  <c r="J50" s="1"/>
  <c r="O49"/>
  <c r="R48"/>
  <c r="Q52" i="12"/>
  <c r="R51"/>
  <c r="Q51" i="9"/>
  <c r="H54" l="1"/>
  <c r="O50"/>
  <c r="R49"/>
  <c r="F52"/>
  <c r="I51"/>
  <c r="J51" s="1"/>
  <c r="Q53" i="12"/>
  <c r="R52"/>
  <c r="Q52" i="9"/>
  <c r="H55" l="1"/>
  <c r="F53"/>
  <c r="I52"/>
  <c r="J52" s="1"/>
  <c r="O51"/>
  <c r="R50"/>
  <c r="Q54" i="12"/>
  <c r="R53"/>
  <c r="Q53" i="9"/>
  <c r="H56" l="1"/>
  <c r="O52"/>
  <c r="R51"/>
  <c r="F54"/>
  <c r="I53"/>
  <c r="J53" s="1"/>
  <c r="Q55" i="12"/>
  <c r="R54"/>
  <c r="Q54" i="9"/>
  <c r="H57" l="1"/>
  <c r="F55"/>
  <c r="I54"/>
  <c r="J54" s="1"/>
  <c r="O53"/>
  <c r="R52"/>
  <c r="Q56" i="12"/>
  <c r="R55"/>
  <c r="Q55" i="9"/>
  <c r="H58" l="1"/>
  <c r="O54"/>
  <c r="R53"/>
  <c r="F56"/>
  <c r="I55"/>
  <c r="J55" s="1"/>
  <c r="Q57" i="12"/>
  <c r="R56"/>
  <c r="Q56" i="9"/>
  <c r="H59" l="1"/>
  <c r="F57"/>
  <c r="I56"/>
  <c r="J56" s="1"/>
  <c r="O55"/>
  <c r="R54"/>
  <c r="Q58" i="12"/>
  <c r="R57"/>
  <c r="Q57" i="9"/>
  <c r="H60" l="1"/>
  <c r="O56"/>
  <c r="R55"/>
  <c r="F58"/>
  <c r="I57"/>
  <c r="J57" s="1"/>
  <c r="Q59" i="12"/>
  <c r="R58"/>
  <c r="Q58" i="9"/>
  <c r="H61" l="1"/>
  <c r="F59"/>
  <c r="I58"/>
  <c r="J58" s="1"/>
  <c r="O57"/>
  <c r="R56"/>
  <c r="Q60" i="12"/>
  <c r="R59"/>
  <c r="Q59" i="9"/>
  <c r="H62" l="1"/>
  <c r="O58"/>
  <c r="R57"/>
  <c r="F60"/>
  <c r="I59"/>
  <c r="J59" s="1"/>
  <c r="Q61" i="12"/>
  <c r="R60"/>
  <c r="Q60" i="9"/>
  <c r="H63" l="1"/>
  <c r="F61"/>
  <c r="I60"/>
  <c r="J60" s="1"/>
  <c r="O59"/>
  <c r="R58"/>
  <c r="Q62" i="12"/>
  <c r="R61"/>
  <c r="Q61" i="9"/>
  <c r="H64" l="1"/>
  <c r="O60"/>
  <c r="R59"/>
  <c r="F62"/>
  <c r="I61"/>
  <c r="J61" s="1"/>
  <c r="Q63" i="12"/>
  <c r="R62"/>
  <c r="Q62" i="9"/>
  <c r="H65" l="1"/>
  <c r="F63"/>
  <c r="I62"/>
  <c r="J62" s="1"/>
  <c r="O61"/>
  <c r="R60"/>
  <c r="Q64" i="12"/>
  <c r="R63"/>
  <c r="Q63" i="9"/>
  <c r="H66" l="1"/>
  <c r="O62"/>
  <c r="R61"/>
  <c r="F64"/>
  <c r="I63"/>
  <c r="J63" s="1"/>
  <c r="Q65" i="12"/>
  <c r="R64"/>
  <c r="Q64" i="9"/>
  <c r="H67" l="1"/>
  <c r="F65"/>
  <c r="I64"/>
  <c r="J64" s="1"/>
  <c r="O63"/>
  <c r="R62"/>
  <c r="Q66" i="12"/>
  <c r="R65"/>
  <c r="Q65" i="9"/>
  <c r="H68" l="1"/>
  <c r="H69" s="1"/>
  <c r="O64"/>
  <c r="R63"/>
  <c r="F66"/>
  <c r="I65"/>
  <c r="J65" s="1"/>
  <c r="Q67" i="12"/>
  <c r="R66"/>
  <c r="Q66" i="9"/>
  <c r="F67" l="1"/>
  <c r="I66"/>
  <c r="J66" s="1"/>
  <c r="O65"/>
  <c r="R64"/>
  <c r="Q68" i="12"/>
  <c r="R67"/>
  <c r="Q67" i="9"/>
  <c r="O66" l="1"/>
  <c r="R65"/>
  <c r="F68"/>
  <c r="I67"/>
  <c r="J67" s="1"/>
  <c r="Q69" i="12"/>
  <c r="R69" s="1"/>
  <c r="R68"/>
  <c r="Q68" i="9"/>
  <c r="F69" l="1"/>
  <c r="I69" s="1"/>
  <c r="I68"/>
  <c r="J68" s="1"/>
  <c r="O67"/>
  <c r="R66"/>
  <c r="Q69"/>
  <c r="C24" i="11"/>
  <c r="C25" s="1"/>
  <c r="C3" i="12" s="1"/>
  <c r="C8" s="1"/>
  <c r="O68" i="9" l="1"/>
  <c r="R67"/>
  <c r="J69"/>
  <c r="J3" s="1"/>
  <c r="C9" i="12"/>
  <c r="I8"/>
  <c r="J8" s="1"/>
  <c r="O69" i="9" l="1"/>
  <c r="R69" s="1"/>
  <c r="R68"/>
  <c r="C10" i="12"/>
  <c r="I9"/>
  <c r="J9" s="1"/>
  <c r="C11" l="1"/>
  <c r="I10"/>
  <c r="J10" s="1"/>
  <c r="C12" l="1"/>
  <c r="I11"/>
  <c r="J11" s="1"/>
  <c r="C13" l="1"/>
  <c r="I12"/>
  <c r="J12" s="1"/>
  <c r="C14" l="1"/>
  <c r="I13"/>
  <c r="J13" s="1"/>
  <c r="C15" l="1"/>
  <c r="I14"/>
  <c r="J14" s="1"/>
  <c r="C16" l="1"/>
  <c r="I15"/>
  <c r="J15" s="1"/>
  <c r="C17" l="1"/>
  <c r="I16"/>
  <c r="J16" s="1"/>
  <c r="C18" l="1"/>
  <c r="I17"/>
  <c r="J17" s="1"/>
  <c r="C19" l="1"/>
  <c r="I18"/>
  <c r="J18" s="1"/>
  <c r="C20" l="1"/>
  <c r="I19"/>
  <c r="J19" s="1"/>
  <c r="C21" l="1"/>
  <c r="I20"/>
  <c r="J20" s="1"/>
  <c r="C22" l="1"/>
  <c r="I21"/>
  <c r="J21" s="1"/>
  <c r="C23" l="1"/>
  <c r="I22"/>
  <c r="J22" s="1"/>
  <c r="C24" l="1"/>
  <c r="I23"/>
  <c r="J23" s="1"/>
  <c r="C25" l="1"/>
  <c r="I24"/>
  <c r="J24" s="1"/>
  <c r="C26" l="1"/>
  <c r="I25"/>
  <c r="J25" s="1"/>
  <c r="C27" l="1"/>
  <c r="I26"/>
  <c r="J26" s="1"/>
  <c r="C28" l="1"/>
  <c r="I27"/>
  <c r="J27" s="1"/>
  <c r="C29" l="1"/>
  <c r="I28"/>
  <c r="J28" s="1"/>
  <c r="C30" l="1"/>
  <c r="I29"/>
  <c r="J29" s="1"/>
  <c r="C31" l="1"/>
  <c r="I30"/>
  <c r="J30" s="1"/>
  <c r="C32" l="1"/>
  <c r="I31"/>
  <c r="J31" s="1"/>
  <c r="C33" l="1"/>
  <c r="I32"/>
  <c r="J32" s="1"/>
  <c r="C34" l="1"/>
  <c r="I33"/>
  <c r="J33" s="1"/>
  <c r="C35" l="1"/>
  <c r="I34"/>
  <c r="J34" s="1"/>
  <c r="C36" l="1"/>
  <c r="I35"/>
  <c r="J35" s="1"/>
  <c r="C37" l="1"/>
  <c r="I36"/>
  <c r="J36" s="1"/>
  <c r="C38" l="1"/>
  <c r="I37"/>
  <c r="J37" s="1"/>
  <c r="C39" l="1"/>
  <c r="I38"/>
  <c r="J38" s="1"/>
  <c r="C40" l="1"/>
  <c r="I39"/>
  <c r="J39" s="1"/>
  <c r="C41" l="1"/>
  <c r="I40"/>
  <c r="J40" s="1"/>
  <c r="C42" l="1"/>
  <c r="I41"/>
  <c r="J41" s="1"/>
  <c r="C43" l="1"/>
  <c r="I42"/>
  <c r="J42" s="1"/>
  <c r="C44" l="1"/>
  <c r="I43"/>
  <c r="J43" s="1"/>
  <c r="C45" l="1"/>
  <c r="I44"/>
  <c r="J44" s="1"/>
  <c r="C46" l="1"/>
  <c r="I45"/>
  <c r="J45" s="1"/>
  <c r="C47" l="1"/>
  <c r="I46"/>
  <c r="J46" s="1"/>
  <c r="C48" l="1"/>
  <c r="I47"/>
  <c r="J47" s="1"/>
  <c r="C49" l="1"/>
  <c r="I48"/>
  <c r="J48" s="1"/>
  <c r="C50" l="1"/>
  <c r="I49"/>
  <c r="J49" s="1"/>
  <c r="C51" l="1"/>
  <c r="I50"/>
  <c r="J50" s="1"/>
  <c r="C52" l="1"/>
  <c r="I51"/>
  <c r="J51" s="1"/>
  <c r="C53" l="1"/>
  <c r="I52"/>
  <c r="J52" s="1"/>
  <c r="C54" l="1"/>
  <c r="I53"/>
  <c r="J53" s="1"/>
  <c r="C55" l="1"/>
  <c r="I54"/>
  <c r="J54" s="1"/>
  <c r="C56" l="1"/>
  <c r="I55"/>
  <c r="J55" s="1"/>
  <c r="C57" l="1"/>
  <c r="I56"/>
  <c r="J56" s="1"/>
  <c r="C58" l="1"/>
  <c r="I57"/>
  <c r="J57" s="1"/>
  <c r="C59" l="1"/>
  <c r="I58"/>
  <c r="J58" s="1"/>
  <c r="C60" l="1"/>
  <c r="I59"/>
  <c r="J59" s="1"/>
  <c r="C61" l="1"/>
  <c r="I60"/>
  <c r="J60" s="1"/>
  <c r="C62" l="1"/>
  <c r="I61"/>
  <c r="J61" s="1"/>
  <c r="C63" l="1"/>
  <c r="I62"/>
  <c r="J62" s="1"/>
  <c r="C64" l="1"/>
  <c r="I63"/>
  <c r="J63" s="1"/>
  <c r="C65" l="1"/>
  <c r="I64"/>
  <c r="J64" s="1"/>
  <c r="C66" l="1"/>
  <c r="I65"/>
  <c r="J65" s="1"/>
  <c r="C67" l="1"/>
  <c r="I66"/>
  <c r="J66" s="1"/>
  <c r="C68" l="1"/>
  <c r="I67"/>
  <c r="J67" s="1"/>
  <c r="C69" l="1"/>
  <c r="I69" s="1"/>
  <c r="I68"/>
  <c r="J68" s="1"/>
  <c r="J69" l="1"/>
  <c r="J3" s="1"/>
  <c r="C31" i="11" s="1"/>
</calcChain>
</file>

<file path=xl/sharedStrings.xml><?xml version="1.0" encoding="utf-8"?>
<sst xmlns="http://schemas.openxmlformats.org/spreadsheetml/2006/main" count="176" uniqueCount="74">
  <si>
    <t xml:space="preserve">Fz = </t>
  </si>
  <si>
    <t xml:space="preserve">Fp = </t>
  </si>
  <si>
    <t>Hz</t>
  </si>
  <si>
    <t>Freq</t>
  </si>
  <si>
    <t xml:space="preserve">Name = </t>
  </si>
  <si>
    <t>Total</t>
  </si>
  <si>
    <t>Units</t>
  </si>
  <si>
    <t>dB</t>
  </si>
  <si>
    <t>Degrees</t>
  </si>
  <si>
    <t>Fco</t>
  </si>
  <si>
    <t>-</t>
  </si>
  <si>
    <t>Vout</t>
  </si>
  <si>
    <t>Vref</t>
  </si>
  <si>
    <t>A</t>
  </si>
  <si>
    <t>W</t>
  </si>
  <si>
    <t>V</t>
  </si>
  <si>
    <t>Vin</t>
  </si>
  <si>
    <t>Co</t>
  </si>
  <si>
    <t>Cp</t>
  </si>
  <si>
    <t>uF</t>
  </si>
  <si>
    <t>nF</t>
  </si>
  <si>
    <t>pF</t>
  </si>
  <si>
    <t>V/V</t>
  </si>
  <si>
    <t>uA/V</t>
  </si>
  <si>
    <t>A/V</t>
  </si>
  <si>
    <t>kHz</t>
  </si>
  <si>
    <t>Fpo</t>
  </si>
  <si>
    <t xml:space="preserve">FCO = </t>
  </si>
  <si>
    <t>Io max</t>
  </si>
  <si>
    <t>Esr</t>
  </si>
  <si>
    <t>Rlim</t>
  </si>
  <si>
    <t>Aiea</t>
  </si>
  <si>
    <t>Avea</t>
  </si>
  <si>
    <t>Aimod</t>
  </si>
  <si>
    <t xml:space="preserve">Avdiv = </t>
  </si>
  <si>
    <t xml:space="preserve">Rld = </t>
  </si>
  <si>
    <t xml:space="preserve">AVtotDC = </t>
  </si>
  <si>
    <t xml:space="preserve">AVmodDC = </t>
  </si>
  <si>
    <t xml:space="preserve">GtotDC = </t>
  </si>
  <si>
    <t xml:space="preserve">Fpco = </t>
  </si>
  <si>
    <t xml:space="preserve">Fzo = </t>
  </si>
  <si>
    <t xml:space="preserve">FPo = </t>
  </si>
  <si>
    <t xml:space="preserve">FPea1 = </t>
  </si>
  <si>
    <t xml:space="preserve">FPea2 = </t>
  </si>
  <si>
    <t>Fzea =</t>
  </si>
  <si>
    <r>
      <rPr>
        <sz val="11"/>
        <color theme="1"/>
        <rFont val="Calibri"/>
        <family val="2"/>
        <scheme val="minor"/>
      </rPr>
      <t>m</t>
    </r>
    <r>
      <rPr>
        <sz val="11"/>
        <color theme="1"/>
        <rFont val="Symbol"/>
        <family val="1"/>
        <charset val="2"/>
      </rPr>
      <t>W</t>
    </r>
  </si>
  <si>
    <t xml:space="preserve">RCx = </t>
  </si>
  <si>
    <t xml:space="preserve">Cc = </t>
  </si>
  <si>
    <t xml:space="preserve">Cp = </t>
  </si>
  <si>
    <t>GtotDC</t>
  </si>
  <si>
    <t>Fzo</t>
  </si>
  <si>
    <t>FPea1</t>
  </si>
  <si>
    <t>FPea2</t>
  </si>
  <si>
    <t>Fzea</t>
  </si>
  <si>
    <r>
      <rPr>
        <sz val="11"/>
        <color theme="1"/>
        <rFont val="Calibri"/>
        <family val="2"/>
        <scheme val="minor"/>
      </rPr>
      <t>k</t>
    </r>
    <r>
      <rPr>
        <sz val="11"/>
        <color theme="1"/>
        <rFont val="Symbol"/>
        <family val="1"/>
        <charset val="2"/>
      </rPr>
      <t>W</t>
    </r>
  </si>
  <si>
    <t xml:space="preserve">Rc = </t>
  </si>
  <si>
    <t>Calculations</t>
  </si>
  <si>
    <t xml:space="preserve">Fco = </t>
  </si>
  <si>
    <t>Differences in Aimod</t>
  </si>
  <si>
    <t xml:space="preserve">Gdc = </t>
  </si>
  <si>
    <t>P @ 1Hz</t>
  </si>
  <si>
    <t>Device</t>
  </si>
  <si>
    <t>Existing Design Inputs</t>
  </si>
  <si>
    <t>Bode Plot of an Existing Design</t>
  </si>
  <si>
    <t>Design Inputs</t>
  </si>
  <si>
    <t>Device Givens</t>
  </si>
  <si>
    <t>Calculated Compensation</t>
  </si>
  <si>
    <t>ANP-40 Calculated Compensation</t>
  </si>
  <si>
    <r>
      <rPr>
        <sz val="11"/>
        <color rgb="FFFF0000"/>
        <rFont val="Calibri"/>
        <family val="2"/>
        <scheme val="minor"/>
      </rPr>
      <t>k</t>
    </r>
    <r>
      <rPr>
        <sz val="11"/>
        <color rgb="FFFF0000"/>
        <rFont val="Symbol"/>
        <family val="1"/>
        <charset val="2"/>
      </rPr>
      <t>W</t>
    </r>
  </si>
  <si>
    <t>(Note: 7664,7665,7674, or 7675)</t>
  </si>
  <si>
    <t xml:space="preserve">Vin = </t>
  </si>
  <si>
    <t>Copyright Exar Corporation, 2013</t>
  </si>
  <si>
    <t>Exar XRP7664, 7665, 7674, and 7675 Compensation Instructions</t>
  </si>
  <si>
    <t xml:space="preserve">This worksheet is a tool to assist in compensating Exar's XRP7664, 7665, 7674, and 7675 Regulators. It has two separate sections. One is for analyzing an existing design ("Existing Design") by doing a Bode plot. The other section is to calculate the compensation for a new design ("New Comp Design") by using the procedure outlined in ANP-40 "Current Mode Compensation". 
Please note that there are some internal difference between the different controllers so be sure that the correct device is entered in the input data section. The correct device parameters will be then be selected and used in the calculations.
Data should be inputted in the blue highlighted sections. The yellow highlighted sections represent calculations of given parameters and should not be changed. The non highlighted sections contain information and should also not be changed. 
The "GP Calcs" and "GP Calcs (2)" worksheets are for calculating the Bode plots and should not be changed or modified. </t>
  </si>
</sst>
</file>

<file path=xl/styles.xml><?xml version="1.0" encoding="utf-8"?>
<styleSheet xmlns="http://schemas.openxmlformats.org/spreadsheetml/2006/main">
  <numFmts count="2">
    <numFmt numFmtId="164" formatCode="0.0"/>
    <numFmt numFmtId="165" formatCode="0.000"/>
  </numFmts>
  <fonts count="8">
    <font>
      <sz val="11"/>
      <color theme="1"/>
      <name val="Calibri"/>
      <family val="2"/>
      <scheme val="minor"/>
    </font>
    <font>
      <b/>
      <sz val="11"/>
      <color theme="1"/>
      <name val="Calibri"/>
      <family val="2"/>
      <scheme val="minor"/>
    </font>
    <font>
      <sz val="11"/>
      <color theme="1"/>
      <name val="Symbol"/>
      <family val="1"/>
      <charset val="2"/>
    </font>
    <font>
      <sz val="11"/>
      <color rgb="FFFF0000"/>
      <name val="Calibri"/>
      <family val="2"/>
      <scheme val="minor"/>
    </font>
    <font>
      <sz val="11"/>
      <color rgb="FF1F497D"/>
      <name val="Calibri"/>
      <family val="2"/>
      <scheme val="minor"/>
    </font>
    <font>
      <b/>
      <sz val="18"/>
      <color theme="1"/>
      <name val="Calibri"/>
      <family val="2"/>
      <scheme val="minor"/>
    </font>
    <font>
      <b/>
      <sz val="11"/>
      <color rgb="FFFF0000"/>
      <name val="Calibri"/>
      <family val="2"/>
      <scheme val="minor"/>
    </font>
    <font>
      <sz val="11"/>
      <color rgb="FFFF0000"/>
      <name val="Symbol"/>
      <family val="1"/>
      <charset val="2"/>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6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94">
    <xf numFmtId="0" fontId="0" fillId="0" borderId="0" xfId="0"/>
    <xf numFmtId="0" fontId="0" fillId="0" borderId="5"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7"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right" vertical="center"/>
    </xf>
    <xf numFmtId="2" fontId="0" fillId="0" borderId="14" xfId="0" applyNumberFormat="1" applyBorder="1"/>
    <xf numFmtId="2" fontId="0" fillId="0" borderId="15" xfId="0" applyNumberFormat="1" applyBorder="1"/>
    <xf numFmtId="0" fontId="1" fillId="0" borderId="16" xfId="0" applyFont="1" applyBorder="1" applyAlignment="1">
      <alignment horizontal="righ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0" fillId="2" borderId="1" xfId="0" applyFill="1" applyBorder="1" applyAlignment="1">
      <alignment horizontal="center" vertical="center"/>
    </xf>
    <xf numFmtId="164" fontId="0" fillId="2" borderId="11" xfId="0" applyNumberFormat="1" applyFill="1" applyBorder="1" applyAlignment="1">
      <alignment horizontal="center"/>
    </xf>
    <xf numFmtId="1" fontId="0" fillId="2" borderId="5" xfId="0" applyNumberFormat="1" applyFill="1" applyBorder="1" applyAlignment="1">
      <alignment horizontal="center"/>
    </xf>
    <xf numFmtId="1" fontId="0" fillId="2" borderId="7" xfId="0" applyNumberFormat="1" applyFill="1" applyBorder="1" applyAlignment="1">
      <alignment horizont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xf>
    <xf numFmtId="0" fontId="0" fillId="2" borderId="7" xfId="0" applyFill="1" applyBorder="1" applyAlignment="1">
      <alignment horizontal="center"/>
    </xf>
    <xf numFmtId="1" fontId="0" fillId="0" borderId="0" xfId="0" applyNumberFormat="1" applyAlignment="1">
      <alignment horizontal="center" vertical="center"/>
    </xf>
    <xf numFmtId="1" fontId="0" fillId="2" borderId="1" xfId="0" applyNumberForma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22" xfId="0" applyFill="1" applyBorder="1" applyAlignment="1">
      <alignment horizontal="center" vertical="center"/>
    </xf>
    <xf numFmtId="0" fontId="0" fillId="2" borderId="5"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164" fontId="0" fillId="2" borderId="1" xfId="0" applyNumberFormat="1" applyFill="1" applyBorder="1" applyAlignment="1">
      <alignment horizontal="center" vertical="center"/>
    </xf>
    <xf numFmtId="1" fontId="0" fillId="2" borderId="6" xfId="0" applyNumberFormat="1" applyFill="1" applyBorder="1" applyAlignment="1">
      <alignment horizontal="center" vertical="center"/>
    </xf>
    <xf numFmtId="1" fontId="0" fillId="2" borderId="7" xfId="0" applyNumberFormat="1" applyFill="1" applyBorder="1" applyAlignment="1">
      <alignment horizontal="center" vertical="center"/>
    </xf>
    <xf numFmtId="0" fontId="0" fillId="2" borderId="27"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0" borderId="20" xfId="0"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1" fontId="1" fillId="0" borderId="0" xfId="0" applyNumberFormat="1" applyFont="1" applyAlignment="1">
      <alignment horizontal="center" vertical="center"/>
    </xf>
    <xf numFmtId="1" fontId="0" fillId="2" borderId="11" xfId="0" applyNumberFormat="1" applyFill="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0" fillId="0" borderId="1" xfId="0" applyFont="1" applyBorder="1" applyAlignment="1">
      <alignment horizontal="center" vertical="center"/>
    </xf>
    <xf numFmtId="0" fontId="1" fillId="0" borderId="19" xfId="0" applyFont="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0" xfId="0" applyAlignment="1">
      <alignment horizontal="left" vertical="top" wrapText="1"/>
    </xf>
    <xf numFmtId="0" fontId="5" fillId="0" borderId="0" xfId="0" applyFont="1" applyAlignment="1">
      <alignment horizontal="center" vertical="center"/>
    </xf>
    <xf numFmtId="0" fontId="0" fillId="0" borderId="0" xfId="0" applyProtection="1">
      <protection locked="0"/>
    </xf>
    <xf numFmtId="0" fontId="0" fillId="0" borderId="0" xfId="0" applyAlignment="1" applyProtection="1">
      <alignment horizontal="center" vertical="center"/>
      <protection locked="0"/>
    </xf>
    <xf numFmtId="0" fontId="1" fillId="0" borderId="0" xfId="0" applyFont="1" applyProtection="1">
      <protection locked="0"/>
    </xf>
    <xf numFmtId="0" fontId="0" fillId="3" borderId="1" xfId="0" applyFill="1" applyBorder="1" applyProtection="1">
      <protection locked="0"/>
    </xf>
    <xf numFmtId="0" fontId="0" fillId="3" borderId="1" xfId="0" applyFill="1" applyBorder="1" applyAlignment="1" applyProtection="1">
      <alignment horizontal="right" vertical="center"/>
      <protection locked="0"/>
    </xf>
    <xf numFmtId="0" fontId="4" fillId="0" borderId="0" xfId="0" applyFont="1" applyProtection="1">
      <protection locked="0"/>
    </xf>
    <xf numFmtId="0" fontId="3" fillId="0" borderId="0" xfId="0" applyFont="1" applyProtection="1">
      <protection locked="0"/>
    </xf>
    <xf numFmtId="0" fontId="0" fillId="0" borderId="0" xfId="0" applyProtection="1"/>
    <xf numFmtId="0" fontId="0" fillId="0" borderId="0" xfId="0" applyAlignment="1" applyProtection="1">
      <alignment horizontal="center" vertical="center"/>
    </xf>
    <xf numFmtId="0" fontId="5" fillId="0" borderId="0" xfId="0" applyFont="1" applyProtection="1"/>
    <xf numFmtId="0" fontId="1" fillId="0" borderId="0" xfId="0" applyFont="1" applyProtection="1"/>
    <xf numFmtId="0" fontId="0" fillId="0" borderId="1" xfId="0" applyFont="1" applyBorder="1" applyProtection="1"/>
    <xf numFmtId="0" fontId="0" fillId="0" borderId="1" xfId="0" applyBorder="1" applyAlignment="1" applyProtection="1">
      <alignment horizontal="center" vertical="center"/>
    </xf>
    <xf numFmtId="0" fontId="0" fillId="0" borderId="1" xfId="0" applyBorder="1" applyProtection="1"/>
    <xf numFmtId="0" fontId="2" fillId="0" borderId="1" xfId="0" applyFont="1" applyBorder="1" applyAlignment="1" applyProtection="1">
      <alignment horizontal="center" vertical="center"/>
    </xf>
    <xf numFmtId="0" fontId="2" fillId="0" borderId="0" xfId="0" applyFont="1" applyAlignment="1" applyProtection="1">
      <alignment horizontal="center" vertical="center"/>
    </xf>
    <xf numFmtId="0" fontId="4" fillId="0" borderId="0" xfId="0" applyFont="1" applyProtection="1"/>
    <xf numFmtId="0" fontId="0" fillId="4" borderId="1" xfId="0" applyFill="1" applyBorder="1" applyProtection="1"/>
    <xf numFmtId="165" fontId="0" fillId="4" borderId="1" xfId="0" applyNumberFormat="1" applyFill="1" applyBorder="1" applyProtection="1"/>
    <xf numFmtId="2" fontId="0" fillId="4" borderId="1" xfId="0" applyNumberFormat="1" applyFill="1" applyBorder="1" applyProtection="1"/>
    <xf numFmtId="164" fontId="0" fillId="4" borderId="1" xfId="0" applyNumberFormat="1" applyFill="1" applyBorder="1" applyProtection="1"/>
    <xf numFmtId="164" fontId="3" fillId="4" borderId="1" xfId="0" applyNumberFormat="1" applyFont="1" applyFill="1" applyBorder="1" applyProtection="1"/>
    <xf numFmtId="164" fontId="0" fillId="0" borderId="0" xfId="0" applyNumberFormat="1" applyProtection="1"/>
    <xf numFmtId="0" fontId="0" fillId="0" borderId="0" xfId="0" applyBorder="1" applyProtection="1"/>
    <xf numFmtId="0" fontId="2" fillId="0" borderId="0" xfId="0" applyFont="1" applyBorder="1" applyProtection="1"/>
    <xf numFmtId="0" fontId="7"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6" fillId="0" borderId="0" xfId="0" applyFont="1" applyProtection="1"/>
    <xf numFmtId="0" fontId="3" fillId="0" borderId="21" xfId="0" applyFont="1" applyBorder="1" applyProtection="1"/>
    <xf numFmtId="164" fontId="3" fillId="4" borderId="3" xfId="0" applyNumberFormat="1" applyFont="1" applyFill="1" applyBorder="1" applyProtection="1"/>
    <xf numFmtId="0" fontId="3" fillId="0" borderId="22" xfId="0" applyFont="1" applyBorder="1" applyProtection="1"/>
    <xf numFmtId="0" fontId="3" fillId="0" borderId="23" xfId="0" applyFont="1" applyBorder="1" applyProtection="1"/>
    <xf numFmtId="164" fontId="3" fillId="4" borderId="6" xfId="0" applyNumberFormat="1" applyFont="1" applyFill="1" applyBorder="1" applyProtection="1"/>
    <xf numFmtId="1" fontId="0" fillId="4" borderId="1" xfId="0" applyNumberFormat="1" applyFill="1" applyBorder="1" applyProtection="1"/>
    <xf numFmtId="1" fontId="0" fillId="0" borderId="0" xfId="0" applyNumberFormat="1" applyProtection="1">
      <protection locked="0"/>
    </xf>
  </cellXfs>
  <cellStyles count="1">
    <cellStyle name="Normal" xfId="0" builtinId="0"/>
  </cellStyles>
  <dxfs count="0"/>
  <tableStyles count="0" defaultTableStyle="TableStyleMedium9" defaultPivotStyle="PivotStyleLight16"/>
  <colors>
    <mruColors>
      <color rgb="FFFFFF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Gain</a:t>
            </a:r>
            <a:r>
              <a:rPr lang="en-US" baseline="0"/>
              <a:t> vs. Frequency</a:t>
            </a:r>
            <a:endParaRPr lang="en-US"/>
          </a:p>
        </c:rich>
      </c:tx>
      <c:layout>
        <c:manualLayout>
          <c:xMode val="edge"/>
          <c:yMode val="edge"/>
          <c:x val="0.39640736565201246"/>
          <c:y val="0"/>
        </c:manualLayout>
      </c:layout>
    </c:title>
    <c:plotArea>
      <c:layout>
        <c:manualLayout>
          <c:layoutTarget val="inner"/>
          <c:xMode val="edge"/>
          <c:yMode val="edge"/>
          <c:x val="7.2193460502167323E-2"/>
          <c:y val="0.12388068512712505"/>
          <c:w val="0.8844219371536296"/>
          <c:h val="0.74622406241772965"/>
        </c:manualLayout>
      </c:layout>
      <c:scatterChart>
        <c:scatterStyle val="lineMarker"/>
        <c:ser>
          <c:idx val="0"/>
          <c:order val="0"/>
          <c:tx>
            <c:strRef>
              <c:f>'GP Calcs'!$C$7</c:f>
              <c:strCache>
                <c:ptCount val="1"/>
                <c:pt idx="0">
                  <c:v>GtotDC</c:v>
                </c:pt>
              </c:strCache>
            </c:strRef>
          </c:tx>
          <c:spPr>
            <a:ln w="19050">
              <a:solidFill>
                <a:srgbClr val="C00000"/>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Calcs'!$C$8:$C$69</c:f>
              <c:numCache>
                <c:formatCode>0.0</c:formatCode>
                <c:ptCount val="62"/>
                <c:pt idx="0">
                  <c:v>62.162276172922262</c:v>
                </c:pt>
                <c:pt idx="1">
                  <c:v>62.162276172922262</c:v>
                </c:pt>
                <c:pt idx="2">
                  <c:v>62.162276172922262</c:v>
                </c:pt>
                <c:pt idx="3">
                  <c:v>62.162276172922262</c:v>
                </c:pt>
                <c:pt idx="4">
                  <c:v>62.162276172922262</c:v>
                </c:pt>
                <c:pt idx="5">
                  <c:v>62.162276172922262</c:v>
                </c:pt>
                <c:pt idx="6">
                  <c:v>62.162276172922262</c:v>
                </c:pt>
                <c:pt idx="7">
                  <c:v>62.162276172922262</c:v>
                </c:pt>
                <c:pt idx="8">
                  <c:v>62.162276172922262</c:v>
                </c:pt>
                <c:pt idx="9">
                  <c:v>62.162276172922262</c:v>
                </c:pt>
                <c:pt idx="10">
                  <c:v>62.162276172922262</c:v>
                </c:pt>
                <c:pt idx="11">
                  <c:v>62.162276172922262</c:v>
                </c:pt>
                <c:pt idx="12">
                  <c:v>62.162276172922262</c:v>
                </c:pt>
                <c:pt idx="13">
                  <c:v>62.162276172922262</c:v>
                </c:pt>
                <c:pt idx="14">
                  <c:v>62.162276172922262</c:v>
                </c:pt>
                <c:pt idx="15">
                  <c:v>62.162276172922262</c:v>
                </c:pt>
                <c:pt idx="16">
                  <c:v>62.162276172922262</c:v>
                </c:pt>
                <c:pt idx="17">
                  <c:v>62.162276172922262</c:v>
                </c:pt>
                <c:pt idx="18">
                  <c:v>62.162276172922262</c:v>
                </c:pt>
                <c:pt idx="19">
                  <c:v>62.162276172922262</c:v>
                </c:pt>
                <c:pt idx="20">
                  <c:v>62.162276172922262</c:v>
                </c:pt>
                <c:pt idx="21">
                  <c:v>62.162276172922262</c:v>
                </c:pt>
                <c:pt idx="22">
                  <c:v>62.162276172922262</c:v>
                </c:pt>
                <c:pt idx="23">
                  <c:v>62.162276172922262</c:v>
                </c:pt>
                <c:pt idx="24">
                  <c:v>62.162276172922262</c:v>
                </c:pt>
                <c:pt idx="25">
                  <c:v>62.162276172922262</c:v>
                </c:pt>
                <c:pt idx="26">
                  <c:v>62.162276172922262</c:v>
                </c:pt>
                <c:pt idx="27">
                  <c:v>62.162276172922262</c:v>
                </c:pt>
                <c:pt idx="28">
                  <c:v>62.162276172922262</c:v>
                </c:pt>
                <c:pt idx="29">
                  <c:v>62.162276172922262</c:v>
                </c:pt>
                <c:pt idx="30">
                  <c:v>62.162276172922262</c:v>
                </c:pt>
                <c:pt idx="31">
                  <c:v>62.162276172922262</c:v>
                </c:pt>
                <c:pt idx="32">
                  <c:v>62.162276172922262</c:v>
                </c:pt>
                <c:pt idx="33">
                  <c:v>62.162276172922262</c:v>
                </c:pt>
                <c:pt idx="34">
                  <c:v>62.162276172922262</c:v>
                </c:pt>
                <c:pt idx="35">
                  <c:v>62.162276172922262</c:v>
                </c:pt>
                <c:pt idx="36">
                  <c:v>62.162276172922262</c:v>
                </c:pt>
                <c:pt idx="37">
                  <c:v>62.162276172922262</c:v>
                </c:pt>
                <c:pt idx="38">
                  <c:v>62.162276172922262</c:v>
                </c:pt>
                <c:pt idx="39">
                  <c:v>62.162276172922262</c:v>
                </c:pt>
                <c:pt idx="40">
                  <c:v>62.162276172922262</c:v>
                </c:pt>
                <c:pt idx="41">
                  <c:v>62.162276172922262</c:v>
                </c:pt>
                <c:pt idx="42">
                  <c:v>62.162276172922262</c:v>
                </c:pt>
                <c:pt idx="43">
                  <c:v>62.162276172922262</c:v>
                </c:pt>
                <c:pt idx="44">
                  <c:v>62.162276172922262</c:v>
                </c:pt>
                <c:pt idx="45">
                  <c:v>62.162276172922262</c:v>
                </c:pt>
                <c:pt idx="46">
                  <c:v>62.162276172922262</c:v>
                </c:pt>
                <c:pt idx="47">
                  <c:v>62.162276172922262</c:v>
                </c:pt>
                <c:pt idx="48">
                  <c:v>62.162276172922262</c:v>
                </c:pt>
                <c:pt idx="49">
                  <c:v>62.162276172922262</c:v>
                </c:pt>
                <c:pt idx="50">
                  <c:v>62.162276172922262</c:v>
                </c:pt>
                <c:pt idx="51">
                  <c:v>62.162276172922262</c:v>
                </c:pt>
                <c:pt idx="52">
                  <c:v>62.162276172922262</c:v>
                </c:pt>
                <c:pt idx="53">
                  <c:v>62.162276172922262</c:v>
                </c:pt>
                <c:pt idx="54">
                  <c:v>62.162276172922262</c:v>
                </c:pt>
                <c:pt idx="55">
                  <c:v>62.162276172922262</c:v>
                </c:pt>
                <c:pt idx="56">
                  <c:v>62.162276172922262</c:v>
                </c:pt>
                <c:pt idx="57">
                  <c:v>62.162276172922262</c:v>
                </c:pt>
                <c:pt idx="58">
                  <c:v>62.162276172922262</c:v>
                </c:pt>
                <c:pt idx="59">
                  <c:v>62.162276172922262</c:v>
                </c:pt>
                <c:pt idx="60">
                  <c:v>62.162276172922262</c:v>
                </c:pt>
                <c:pt idx="61">
                  <c:v>62.162276172922262</c:v>
                </c:pt>
              </c:numCache>
            </c:numRef>
          </c:yVal>
        </c:ser>
        <c:ser>
          <c:idx val="1"/>
          <c:order val="1"/>
          <c:tx>
            <c:strRef>
              <c:f>'GP Calcs'!$D$7</c:f>
              <c:strCache>
                <c:ptCount val="1"/>
                <c:pt idx="0">
                  <c:v>Fpo</c:v>
                </c:pt>
              </c:strCache>
            </c:strRef>
          </c:tx>
          <c:spPr>
            <a:ln w="19050">
              <a:solidFill>
                <a:schemeClr val="tx2"/>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Calcs'!$D$8:$D$69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-2</c:v>
                </c:pt>
                <c:pt idx="38">
                  <c:v>-4</c:v>
                </c:pt>
                <c:pt idx="39">
                  <c:v>-6</c:v>
                </c:pt>
                <c:pt idx="40">
                  <c:v>-8</c:v>
                </c:pt>
                <c:pt idx="41">
                  <c:v>-10</c:v>
                </c:pt>
                <c:pt idx="42">
                  <c:v>-12</c:v>
                </c:pt>
                <c:pt idx="43">
                  <c:v>-14</c:v>
                </c:pt>
                <c:pt idx="44">
                  <c:v>-16</c:v>
                </c:pt>
                <c:pt idx="45">
                  <c:v>-18</c:v>
                </c:pt>
                <c:pt idx="46">
                  <c:v>-20</c:v>
                </c:pt>
                <c:pt idx="47">
                  <c:v>-22</c:v>
                </c:pt>
                <c:pt idx="48">
                  <c:v>-24</c:v>
                </c:pt>
                <c:pt idx="49">
                  <c:v>-26</c:v>
                </c:pt>
                <c:pt idx="50">
                  <c:v>-28</c:v>
                </c:pt>
                <c:pt idx="51">
                  <c:v>-30</c:v>
                </c:pt>
                <c:pt idx="52">
                  <c:v>-32</c:v>
                </c:pt>
                <c:pt idx="53">
                  <c:v>-34</c:v>
                </c:pt>
                <c:pt idx="54">
                  <c:v>-36</c:v>
                </c:pt>
                <c:pt idx="55">
                  <c:v>-38</c:v>
                </c:pt>
                <c:pt idx="56">
                  <c:v>-40</c:v>
                </c:pt>
                <c:pt idx="57">
                  <c:v>-42</c:v>
                </c:pt>
                <c:pt idx="58">
                  <c:v>-44</c:v>
                </c:pt>
                <c:pt idx="59">
                  <c:v>-46</c:v>
                </c:pt>
                <c:pt idx="60">
                  <c:v>-48</c:v>
                </c:pt>
                <c:pt idx="61">
                  <c:v>-50</c:v>
                </c:pt>
              </c:numCache>
            </c:numRef>
          </c:yVal>
        </c:ser>
        <c:ser>
          <c:idx val="2"/>
          <c:order val="2"/>
          <c:tx>
            <c:strRef>
              <c:f>'GP Calcs'!$E$7</c:f>
              <c:strCache>
                <c:ptCount val="1"/>
                <c:pt idx="0">
                  <c:v>Fzo</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Calcs'!$E$8:$E$69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2</c:v>
                </c:pt>
                <c:pt idx="61">
                  <c:v>4</c:v>
                </c:pt>
              </c:numCache>
            </c:numRef>
          </c:yVal>
        </c:ser>
        <c:ser>
          <c:idx val="3"/>
          <c:order val="3"/>
          <c:tx>
            <c:strRef>
              <c:f>'GP Calcs'!$F$7</c:f>
              <c:strCache>
                <c:ptCount val="1"/>
                <c:pt idx="0">
                  <c:v>FPea1</c:v>
                </c:pt>
              </c:strCache>
            </c:strRef>
          </c:tx>
          <c:spPr>
            <a:ln w="19050">
              <a:solidFill>
                <a:srgbClr val="00B050">
                  <a:alpha val="50000"/>
                </a:srgbClr>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Calcs'!$F$8:$F$69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c:v>
                </c:pt>
                <c:pt idx="21">
                  <c:v>-4</c:v>
                </c:pt>
                <c:pt idx="22">
                  <c:v>-6</c:v>
                </c:pt>
                <c:pt idx="23">
                  <c:v>-8</c:v>
                </c:pt>
                <c:pt idx="24">
                  <c:v>-10</c:v>
                </c:pt>
                <c:pt idx="25">
                  <c:v>-12</c:v>
                </c:pt>
                <c:pt idx="26">
                  <c:v>-14</c:v>
                </c:pt>
                <c:pt idx="27">
                  <c:v>-16</c:v>
                </c:pt>
                <c:pt idx="28">
                  <c:v>-18</c:v>
                </c:pt>
                <c:pt idx="29">
                  <c:v>-20</c:v>
                </c:pt>
                <c:pt idx="30">
                  <c:v>-22</c:v>
                </c:pt>
                <c:pt idx="31">
                  <c:v>-24</c:v>
                </c:pt>
                <c:pt idx="32">
                  <c:v>-26</c:v>
                </c:pt>
                <c:pt idx="33">
                  <c:v>-28</c:v>
                </c:pt>
                <c:pt idx="34">
                  <c:v>-30</c:v>
                </c:pt>
                <c:pt idx="35">
                  <c:v>-32</c:v>
                </c:pt>
                <c:pt idx="36">
                  <c:v>-34</c:v>
                </c:pt>
                <c:pt idx="37">
                  <c:v>-36</c:v>
                </c:pt>
                <c:pt idx="38">
                  <c:v>-38</c:v>
                </c:pt>
                <c:pt idx="39">
                  <c:v>-40</c:v>
                </c:pt>
                <c:pt idx="40">
                  <c:v>-42</c:v>
                </c:pt>
                <c:pt idx="41">
                  <c:v>-44</c:v>
                </c:pt>
                <c:pt idx="42">
                  <c:v>-46</c:v>
                </c:pt>
                <c:pt idx="43">
                  <c:v>-48</c:v>
                </c:pt>
                <c:pt idx="44">
                  <c:v>-50</c:v>
                </c:pt>
                <c:pt idx="45">
                  <c:v>-52</c:v>
                </c:pt>
                <c:pt idx="46">
                  <c:v>-54</c:v>
                </c:pt>
                <c:pt idx="47">
                  <c:v>-56</c:v>
                </c:pt>
                <c:pt idx="48">
                  <c:v>-58</c:v>
                </c:pt>
                <c:pt idx="49">
                  <c:v>-60</c:v>
                </c:pt>
                <c:pt idx="50">
                  <c:v>-62</c:v>
                </c:pt>
                <c:pt idx="51">
                  <c:v>-64</c:v>
                </c:pt>
                <c:pt idx="52">
                  <c:v>-66</c:v>
                </c:pt>
                <c:pt idx="53">
                  <c:v>-68</c:v>
                </c:pt>
                <c:pt idx="54">
                  <c:v>-70</c:v>
                </c:pt>
                <c:pt idx="55">
                  <c:v>-72</c:v>
                </c:pt>
                <c:pt idx="56">
                  <c:v>-74</c:v>
                </c:pt>
                <c:pt idx="57">
                  <c:v>-76</c:v>
                </c:pt>
                <c:pt idx="58">
                  <c:v>-78</c:v>
                </c:pt>
                <c:pt idx="59">
                  <c:v>-80</c:v>
                </c:pt>
                <c:pt idx="60">
                  <c:v>-82</c:v>
                </c:pt>
                <c:pt idx="61">
                  <c:v>-84</c:v>
                </c:pt>
              </c:numCache>
            </c:numRef>
          </c:yVal>
        </c:ser>
        <c:ser>
          <c:idx val="4"/>
          <c:order val="4"/>
          <c:tx>
            <c:strRef>
              <c:f>'GP Calcs'!$G$7</c:f>
              <c:strCache>
                <c:ptCount val="1"/>
                <c:pt idx="0">
                  <c:v>FPea2</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Calcs'!$G$8:$G$69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yVal>
        </c:ser>
        <c:ser>
          <c:idx val="5"/>
          <c:order val="5"/>
          <c:tx>
            <c:strRef>
              <c:f>'GP Calcs'!$H$7</c:f>
              <c:strCache>
                <c:ptCount val="1"/>
                <c:pt idx="0">
                  <c:v>Fzea</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Calcs'!$H$8:$H$69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2</c:v>
                </c:pt>
                <c:pt idx="39">
                  <c:v>4</c:v>
                </c:pt>
                <c:pt idx="40">
                  <c:v>6</c:v>
                </c:pt>
                <c:pt idx="41">
                  <c:v>8</c:v>
                </c:pt>
                <c:pt idx="42">
                  <c:v>10</c:v>
                </c:pt>
                <c:pt idx="43">
                  <c:v>12</c:v>
                </c:pt>
                <c:pt idx="44">
                  <c:v>14</c:v>
                </c:pt>
                <c:pt idx="45">
                  <c:v>16</c:v>
                </c:pt>
                <c:pt idx="46">
                  <c:v>18</c:v>
                </c:pt>
                <c:pt idx="47">
                  <c:v>20</c:v>
                </c:pt>
                <c:pt idx="48">
                  <c:v>22</c:v>
                </c:pt>
                <c:pt idx="49">
                  <c:v>24</c:v>
                </c:pt>
                <c:pt idx="50">
                  <c:v>26</c:v>
                </c:pt>
                <c:pt idx="51">
                  <c:v>28</c:v>
                </c:pt>
                <c:pt idx="52">
                  <c:v>30</c:v>
                </c:pt>
                <c:pt idx="53">
                  <c:v>32</c:v>
                </c:pt>
                <c:pt idx="54">
                  <c:v>34</c:v>
                </c:pt>
                <c:pt idx="55">
                  <c:v>36</c:v>
                </c:pt>
                <c:pt idx="56">
                  <c:v>38</c:v>
                </c:pt>
                <c:pt idx="57">
                  <c:v>40</c:v>
                </c:pt>
                <c:pt idx="58">
                  <c:v>42</c:v>
                </c:pt>
                <c:pt idx="59">
                  <c:v>44</c:v>
                </c:pt>
                <c:pt idx="60">
                  <c:v>46</c:v>
                </c:pt>
                <c:pt idx="61">
                  <c:v>48</c:v>
                </c:pt>
              </c:numCache>
            </c:numRef>
          </c:yVal>
        </c:ser>
        <c:ser>
          <c:idx val="9"/>
          <c:order val="6"/>
          <c:tx>
            <c:strRef>
              <c:f>'GP Calcs'!$J$2</c:f>
              <c:strCache>
                <c:ptCount val="1"/>
                <c:pt idx="0">
                  <c:v>Fco</c:v>
                </c:pt>
              </c:strCache>
            </c:strRef>
          </c:tx>
          <c:spPr>
            <a:ln>
              <a:noFill/>
            </a:ln>
          </c:spPr>
          <c:marker>
            <c:symbol val="circle"/>
            <c:size val="7"/>
            <c:spPr>
              <a:noFill/>
              <a:ln w="19050">
                <a:solidFill>
                  <a:prstClr val="black"/>
                </a:solidFill>
              </a:ln>
            </c:spPr>
          </c:marker>
          <c:xVal>
            <c:numRef>
              <c:f>'GP Calcs'!$J$3</c:f>
              <c:numCache>
                <c:formatCode>0</c:formatCode>
                <c:ptCount val="1"/>
                <c:pt idx="0">
                  <c:v>100000</c:v>
                </c:pt>
              </c:numCache>
            </c:numRef>
          </c:xVal>
          <c:yVal>
            <c:numLit>
              <c:formatCode>General</c:formatCode>
              <c:ptCount val="1"/>
              <c:pt idx="0">
                <c:v>0</c:v>
              </c:pt>
            </c:numLit>
          </c:yVal>
        </c:ser>
        <c:ser>
          <c:idx val="6"/>
          <c:order val="7"/>
          <c:tx>
            <c:strRef>
              <c:f>'GP Calcs'!$I$7</c:f>
              <c:strCache>
                <c:ptCount val="1"/>
                <c:pt idx="0">
                  <c:v>Total</c:v>
                </c:pt>
              </c:strCache>
            </c:strRef>
          </c:tx>
          <c:spPr>
            <a:ln>
              <a:solidFill>
                <a:schemeClr val="tx1"/>
              </a:solidFill>
              <a:prstDash val="dash"/>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Calcs'!$I$8:$I$69</c:f>
              <c:numCache>
                <c:formatCode>General</c:formatCode>
                <c:ptCount val="62"/>
                <c:pt idx="0">
                  <c:v>62.162276172922262</c:v>
                </c:pt>
                <c:pt idx="1">
                  <c:v>62.162276172922262</c:v>
                </c:pt>
                <c:pt idx="2">
                  <c:v>62.162276172922262</c:v>
                </c:pt>
                <c:pt idx="3">
                  <c:v>62.162276172922262</c:v>
                </c:pt>
                <c:pt idx="4">
                  <c:v>62.162276172922262</c:v>
                </c:pt>
                <c:pt idx="5">
                  <c:v>62.162276172922262</c:v>
                </c:pt>
                <c:pt idx="6">
                  <c:v>62.162276172922262</c:v>
                </c:pt>
                <c:pt idx="7">
                  <c:v>62.162276172922262</c:v>
                </c:pt>
                <c:pt idx="8">
                  <c:v>62.162276172922262</c:v>
                </c:pt>
                <c:pt idx="9">
                  <c:v>62.162276172922262</c:v>
                </c:pt>
                <c:pt idx="10">
                  <c:v>62.162276172922262</c:v>
                </c:pt>
                <c:pt idx="11">
                  <c:v>62.162276172922262</c:v>
                </c:pt>
                <c:pt idx="12">
                  <c:v>62.162276172922262</c:v>
                </c:pt>
                <c:pt idx="13">
                  <c:v>62.162276172922262</c:v>
                </c:pt>
                <c:pt idx="14">
                  <c:v>62.162276172922262</c:v>
                </c:pt>
                <c:pt idx="15">
                  <c:v>62.162276172922262</c:v>
                </c:pt>
                <c:pt idx="16">
                  <c:v>62.162276172922262</c:v>
                </c:pt>
                <c:pt idx="17">
                  <c:v>62.162276172922262</c:v>
                </c:pt>
                <c:pt idx="18">
                  <c:v>62.162276172922262</c:v>
                </c:pt>
                <c:pt idx="19">
                  <c:v>62.162276172922262</c:v>
                </c:pt>
                <c:pt idx="20">
                  <c:v>60.162276172922262</c:v>
                </c:pt>
                <c:pt idx="21">
                  <c:v>58.162276172922262</c:v>
                </c:pt>
                <c:pt idx="22">
                  <c:v>56.162276172922262</c:v>
                </c:pt>
                <c:pt idx="23">
                  <c:v>54.162276172922262</c:v>
                </c:pt>
                <c:pt idx="24">
                  <c:v>52.162276172922262</c:v>
                </c:pt>
                <c:pt idx="25">
                  <c:v>50.162276172922262</c:v>
                </c:pt>
                <c:pt idx="26">
                  <c:v>48.162276172922262</c:v>
                </c:pt>
                <c:pt idx="27">
                  <c:v>46.162276172922262</c:v>
                </c:pt>
                <c:pt idx="28">
                  <c:v>44.162276172922262</c:v>
                </c:pt>
                <c:pt idx="29">
                  <c:v>42.162276172922262</c:v>
                </c:pt>
                <c:pt idx="30">
                  <c:v>40.162276172922262</c:v>
                </c:pt>
                <c:pt idx="31">
                  <c:v>38.162276172922262</c:v>
                </c:pt>
                <c:pt idx="32">
                  <c:v>36.162276172922262</c:v>
                </c:pt>
                <c:pt idx="33">
                  <c:v>34.162276172922262</c:v>
                </c:pt>
                <c:pt idx="34">
                  <c:v>32.162276172922262</c:v>
                </c:pt>
                <c:pt idx="35">
                  <c:v>30.162276172922262</c:v>
                </c:pt>
                <c:pt idx="36">
                  <c:v>28.162276172922262</c:v>
                </c:pt>
                <c:pt idx="37">
                  <c:v>24.162276172922262</c:v>
                </c:pt>
                <c:pt idx="38">
                  <c:v>22.162276172922262</c:v>
                </c:pt>
                <c:pt idx="39">
                  <c:v>20.162276172922262</c:v>
                </c:pt>
                <c:pt idx="40">
                  <c:v>18.162276172922262</c:v>
                </c:pt>
                <c:pt idx="41">
                  <c:v>16.162276172922262</c:v>
                </c:pt>
                <c:pt idx="42">
                  <c:v>14.162276172922262</c:v>
                </c:pt>
                <c:pt idx="43">
                  <c:v>12.162276172922262</c:v>
                </c:pt>
                <c:pt idx="44">
                  <c:v>10.162276172922262</c:v>
                </c:pt>
                <c:pt idx="45">
                  <c:v>8.1622761729222617</c:v>
                </c:pt>
                <c:pt idx="46">
                  <c:v>6.1622761729222617</c:v>
                </c:pt>
                <c:pt idx="47">
                  <c:v>4.1622761729222617</c:v>
                </c:pt>
                <c:pt idx="48">
                  <c:v>2.1622761729222617</c:v>
                </c:pt>
                <c:pt idx="49">
                  <c:v>0.16227617292226171</c:v>
                </c:pt>
                <c:pt idx="50">
                  <c:v>-1.8377238270777383</c:v>
                </c:pt>
                <c:pt idx="51">
                  <c:v>-3.8377238270777383</c:v>
                </c:pt>
                <c:pt idx="52">
                  <c:v>-5.8377238270777383</c:v>
                </c:pt>
                <c:pt idx="53">
                  <c:v>-7.8377238270777383</c:v>
                </c:pt>
                <c:pt idx="54">
                  <c:v>-9.8377238270777383</c:v>
                </c:pt>
                <c:pt idx="55">
                  <c:v>-11.837723827077738</c:v>
                </c:pt>
                <c:pt idx="56">
                  <c:v>-13.837723827077738</c:v>
                </c:pt>
                <c:pt idx="57">
                  <c:v>-15.837723827077738</c:v>
                </c:pt>
                <c:pt idx="58">
                  <c:v>-17.837723827077738</c:v>
                </c:pt>
                <c:pt idx="59">
                  <c:v>-19.837723827077738</c:v>
                </c:pt>
                <c:pt idx="60">
                  <c:v>-19.837723827077738</c:v>
                </c:pt>
                <c:pt idx="61">
                  <c:v>-19.837723827077738</c:v>
                </c:pt>
              </c:numCache>
            </c:numRef>
          </c:yVal>
        </c:ser>
        <c:axId val="82057856"/>
        <c:axId val="82076416"/>
      </c:scatterChart>
      <c:valAx>
        <c:axId val="82057856"/>
        <c:scaling>
          <c:logBase val="10"/>
          <c:orientation val="minMax"/>
          <c:max val="1000000"/>
        </c:scaling>
        <c:axPos val="b"/>
        <c:majorGridlines/>
        <c:minorGridlines/>
        <c:title>
          <c:tx>
            <c:rich>
              <a:bodyPr/>
              <a:lstStyle/>
              <a:p>
                <a:pPr>
                  <a:defRPr/>
                </a:pPr>
                <a:r>
                  <a:rPr lang="en-US"/>
                  <a:t>Frequency</a:t>
                </a:r>
              </a:p>
            </c:rich>
          </c:tx>
          <c:layout/>
        </c:title>
        <c:numFmt formatCode="0.E+00" sourceLinked="0"/>
        <c:tickLblPos val="nextTo"/>
        <c:crossAx val="82076416"/>
        <c:crossesAt val="-180"/>
        <c:crossBetween val="midCat"/>
      </c:valAx>
      <c:valAx>
        <c:axId val="82076416"/>
        <c:scaling>
          <c:orientation val="minMax"/>
          <c:max val="80"/>
          <c:min val="-40"/>
        </c:scaling>
        <c:axPos val="l"/>
        <c:majorGridlines/>
        <c:minorGridlines>
          <c:spPr>
            <a:ln>
              <a:prstDash val="sysDot"/>
            </a:ln>
          </c:spPr>
        </c:minorGridlines>
        <c:title>
          <c:tx>
            <c:rich>
              <a:bodyPr rot="-5400000" vert="horz"/>
              <a:lstStyle/>
              <a:p>
                <a:pPr>
                  <a:defRPr/>
                </a:pPr>
                <a:r>
                  <a:rPr lang="en-US"/>
                  <a:t>Gain (dB)</a:t>
                </a:r>
              </a:p>
            </c:rich>
          </c:tx>
          <c:layout>
            <c:manualLayout>
              <c:xMode val="edge"/>
              <c:yMode val="edge"/>
              <c:x val="2.0748815642689696E-4"/>
              <c:y val="0.39854294808893581"/>
            </c:manualLayout>
          </c:layout>
        </c:title>
        <c:numFmt formatCode="0" sourceLinked="0"/>
        <c:tickLblPos val="nextTo"/>
        <c:crossAx val="82057856"/>
        <c:crossesAt val="1"/>
        <c:crossBetween val="midCat"/>
        <c:majorUnit val="20"/>
        <c:minorUnit val="10"/>
      </c:valAx>
      <c:spPr>
        <a:ln>
          <a:solidFill>
            <a:schemeClr val="tx1"/>
          </a:solidFill>
        </a:ln>
      </c:spPr>
    </c:plotArea>
    <c:legend>
      <c:legendPos val="r"/>
      <c:layout>
        <c:manualLayout>
          <c:xMode val="edge"/>
          <c:yMode val="edge"/>
          <c:x val="7.6251187321794325E-2"/>
          <c:y val="0.32342931379114076"/>
          <c:w val="0.11504042120178012"/>
          <c:h val="0.52258646475742265"/>
        </c:manualLayout>
      </c:layout>
      <c:spPr>
        <a:solidFill>
          <a:sysClr val="window" lastClr="FFFFFF"/>
        </a:solidFill>
        <a:ln>
          <a:solidFill>
            <a:srgbClr val="4F81BD"/>
          </a:solidFill>
        </a:ln>
      </c:spPr>
    </c:legend>
    <c:plotVisOnly val="1"/>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Phase vs. Frequency</a:t>
            </a:r>
          </a:p>
        </c:rich>
      </c:tx>
      <c:layout>
        <c:manualLayout>
          <c:xMode val="edge"/>
          <c:yMode val="edge"/>
          <c:x val="0.38738819992484425"/>
          <c:y val="0"/>
        </c:manualLayout>
      </c:layout>
      <c:overlay val="1"/>
    </c:title>
    <c:plotArea>
      <c:layout>
        <c:manualLayout>
          <c:layoutTarget val="inner"/>
          <c:xMode val="edge"/>
          <c:yMode val="edge"/>
          <c:x val="9.0062169511787346E-2"/>
          <c:y val="0.13679560127976703"/>
          <c:w val="0.87329352445983532"/>
          <c:h val="0.71210146176983369"/>
        </c:manualLayout>
      </c:layout>
      <c:scatterChart>
        <c:scatterStyle val="lineMarker"/>
        <c:ser>
          <c:idx val="0"/>
          <c:order val="0"/>
          <c:tx>
            <c:strRef>
              <c:f>'GP Calcs'!$L$7</c:f>
              <c:strCache>
                <c:ptCount val="1"/>
                <c:pt idx="0">
                  <c:v>GtotDC</c:v>
                </c:pt>
              </c:strCache>
            </c:strRef>
          </c:tx>
          <c:spPr>
            <a:ln w="19050">
              <a:solidFill>
                <a:srgbClr val="C00000"/>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Calcs'!$L$8:$L$69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yVal>
        </c:ser>
        <c:ser>
          <c:idx val="1"/>
          <c:order val="1"/>
          <c:tx>
            <c:strRef>
              <c:f>'GP Calcs'!$M$7</c:f>
              <c:strCache>
                <c:ptCount val="1"/>
                <c:pt idx="0">
                  <c:v>Fpo</c:v>
                </c:pt>
              </c:strCache>
            </c:strRef>
          </c:tx>
          <c:spPr>
            <a:ln w="19050">
              <a:solidFill>
                <a:schemeClr val="tx2"/>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Calcs'!$M$8:$M$69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-4.5</c:v>
                </c:pt>
                <c:pt idx="28">
                  <c:v>-9</c:v>
                </c:pt>
                <c:pt idx="29">
                  <c:v>-13.5</c:v>
                </c:pt>
                <c:pt idx="30">
                  <c:v>-18</c:v>
                </c:pt>
                <c:pt idx="31">
                  <c:v>-22.5</c:v>
                </c:pt>
                <c:pt idx="32">
                  <c:v>-27</c:v>
                </c:pt>
                <c:pt idx="33">
                  <c:v>-31.5</c:v>
                </c:pt>
                <c:pt idx="34">
                  <c:v>-36</c:v>
                </c:pt>
                <c:pt idx="35">
                  <c:v>-40.5</c:v>
                </c:pt>
                <c:pt idx="36">
                  <c:v>-45</c:v>
                </c:pt>
                <c:pt idx="37">
                  <c:v>-49.5</c:v>
                </c:pt>
                <c:pt idx="38">
                  <c:v>-54</c:v>
                </c:pt>
                <c:pt idx="39">
                  <c:v>-58.5</c:v>
                </c:pt>
                <c:pt idx="40">
                  <c:v>-63</c:v>
                </c:pt>
                <c:pt idx="41">
                  <c:v>-67.5</c:v>
                </c:pt>
                <c:pt idx="42">
                  <c:v>-72</c:v>
                </c:pt>
                <c:pt idx="43">
                  <c:v>-76.5</c:v>
                </c:pt>
                <c:pt idx="44">
                  <c:v>-81</c:v>
                </c:pt>
                <c:pt idx="45">
                  <c:v>-85.5</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2"/>
          <c:order val="2"/>
          <c:tx>
            <c:strRef>
              <c:f>'GP Calcs'!$N$7</c:f>
              <c:strCache>
                <c:ptCount val="1"/>
                <c:pt idx="0">
                  <c:v>Fzo</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Calcs'!$N$8:$N$69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4.5</c:v>
                </c:pt>
                <c:pt idx="51">
                  <c:v>9</c:v>
                </c:pt>
                <c:pt idx="52">
                  <c:v>13.5</c:v>
                </c:pt>
                <c:pt idx="53">
                  <c:v>18</c:v>
                </c:pt>
                <c:pt idx="54">
                  <c:v>22.5</c:v>
                </c:pt>
                <c:pt idx="55">
                  <c:v>27</c:v>
                </c:pt>
                <c:pt idx="56">
                  <c:v>31.5</c:v>
                </c:pt>
                <c:pt idx="57">
                  <c:v>36</c:v>
                </c:pt>
                <c:pt idx="58">
                  <c:v>40.5</c:v>
                </c:pt>
                <c:pt idx="59">
                  <c:v>45</c:v>
                </c:pt>
                <c:pt idx="60">
                  <c:v>49.5</c:v>
                </c:pt>
                <c:pt idx="61">
                  <c:v>54</c:v>
                </c:pt>
              </c:numCache>
            </c:numRef>
          </c:yVal>
        </c:ser>
        <c:ser>
          <c:idx val="3"/>
          <c:order val="3"/>
          <c:tx>
            <c:strRef>
              <c:f>'GP Calcs'!$O$7</c:f>
              <c:strCache>
                <c:ptCount val="1"/>
                <c:pt idx="0">
                  <c:v>FPea1</c:v>
                </c:pt>
              </c:strCache>
            </c:strRef>
          </c:tx>
          <c:spPr>
            <a:ln w="19050">
              <a:solidFill>
                <a:srgbClr val="00B050">
                  <a:alpha val="50000"/>
                </a:srgbClr>
              </a:solidFill>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Calcs'!$O$8:$O$69</c:f>
              <c:numCache>
                <c:formatCode>0.0</c:formatCode>
                <c:ptCount val="62"/>
                <c:pt idx="0">
                  <c:v>0</c:v>
                </c:pt>
                <c:pt idx="1">
                  <c:v>0</c:v>
                </c:pt>
                <c:pt idx="2">
                  <c:v>0</c:v>
                </c:pt>
                <c:pt idx="3">
                  <c:v>0</c:v>
                </c:pt>
                <c:pt idx="4">
                  <c:v>0</c:v>
                </c:pt>
                <c:pt idx="5">
                  <c:v>0</c:v>
                </c:pt>
                <c:pt idx="6">
                  <c:v>0</c:v>
                </c:pt>
                <c:pt idx="7">
                  <c:v>0</c:v>
                </c:pt>
                <c:pt idx="8">
                  <c:v>0</c:v>
                </c:pt>
                <c:pt idx="9">
                  <c:v>0</c:v>
                </c:pt>
                <c:pt idx="10">
                  <c:v>-4.5</c:v>
                </c:pt>
                <c:pt idx="11">
                  <c:v>-9</c:v>
                </c:pt>
                <c:pt idx="12">
                  <c:v>-13.5</c:v>
                </c:pt>
                <c:pt idx="13">
                  <c:v>-18</c:v>
                </c:pt>
                <c:pt idx="14">
                  <c:v>-22.5</c:v>
                </c:pt>
                <c:pt idx="15">
                  <c:v>-27</c:v>
                </c:pt>
                <c:pt idx="16">
                  <c:v>-31.5</c:v>
                </c:pt>
                <c:pt idx="17">
                  <c:v>-36</c:v>
                </c:pt>
                <c:pt idx="18">
                  <c:v>-40.5</c:v>
                </c:pt>
                <c:pt idx="19">
                  <c:v>-45</c:v>
                </c:pt>
                <c:pt idx="20">
                  <c:v>-49.5</c:v>
                </c:pt>
                <c:pt idx="21">
                  <c:v>-54</c:v>
                </c:pt>
                <c:pt idx="22">
                  <c:v>-58.5</c:v>
                </c:pt>
                <c:pt idx="23">
                  <c:v>-63</c:v>
                </c:pt>
                <c:pt idx="24">
                  <c:v>-67.5</c:v>
                </c:pt>
                <c:pt idx="25">
                  <c:v>-72</c:v>
                </c:pt>
                <c:pt idx="26">
                  <c:v>-76.5</c:v>
                </c:pt>
                <c:pt idx="27">
                  <c:v>-81</c:v>
                </c:pt>
                <c:pt idx="28">
                  <c:v>-85.5</c:v>
                </c:pt>
                <c:pt idx="29">
                  <c:v>-90</c:v>
                </c:pt>
                <c:pt idx="30">
                  <c:v>-90</c:v>
                </c:pt>
                <c:pt idx="31">
                  <c:v>-90</c:v>
                </c:pt>
                <c:pt idx="32">
                  <c:v>-90</c:v>
                </c:pt>
                <c:pt idx="33">
                  <c:v>-90</c:v>
                </c:pt>
                <c:pt idx="34">
                  <c:v>-90</c:v>
                </c:pt>
                <c:pt idx="35">
                  <c:v>-90</c:v>
                </c:pt>
                <c:pt idx="36">
                  <c:v>-90</c:v>
                </c:pt>
                <c:pt idx="37">
                  <c:v>-90</c:v>
                </c:pt>
                <c:pt idx="38">
                  <c:v>-90</c:v>
                </c:pt>
                <c:pt idx="39">
                  <c:v>-90</c:v>
                </c:pt>
                <c:pt idx="40">
                  <c:v>-90</c:v>
                </c:pt>
                <c:pt idx="41">
                  <c:v>-90</c:v>
                </c:pt>
                <c:pt idx="42">
                  <c:v>-90</c:v>
                </c:pt>
                <c:pt idx="43">
                  <c:v>-90</c:v>
                </c:pt>
                <c:pt idx="44">
                  <c:v>-90</c:v>
                </c:pt>
                <c:pt idx="45">
                  <c:v>-90</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4"/>
          <c:order val="4"/>
          <c:tx>
            <c:strRef>
              <c:f>'GP Calcs'!$P$7</c:f>
              <c:strCache>
                <c:ptCount val="1"/>
                <c:pt idx="0">
                  <c:v>FPea2</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Calcs'!$P$8:$P$69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yVal>
        </c:ser>
        <c:ser>
          <c:idx val="5"/>
          <c:order val="5"/>
          <c:tx>
            <c:strRef>
              <c:f>'GP Calcs'!$Q$7</c:f>
              <c:strCache>
                <c:ptCount val="1"/>
                <c:pt idx="0">
                  <c:v>Fzea</c:v>
                </c:pt>
              </c:strCache>
            </c:strRef>
          </c:tx>
          <c:spPr>
            <a:ln w="19050"/>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Calcs'!$Q$8:$Q$69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4.5</c:v>
                </c:pt>
                <c:pt idx="29">
                  <c:v>9</c:v>
                </c:pt>
                <c:pt idx="30">
                  <c:v>13.5</c:v>
                </c:pt>
                <c:pt idx="31">
                  <c:v>18</c:v>
                </c:pt>
                <c:pt idx="32">
                  <c:v>22.5</c:v>
                </c:pt>
                <c:pt idx="33">
                  <c:v>27</c:v>
                </c:pt>
                <c:pt idx="34">
                  <c:v>31.5</c:v>
                </c:pt>
                <c:pt idx="35">
                  <c:v>36</c:v>
                </c:pt>
                <c:pt idx="36">
                  <c:v>40.5</c:v>
                </c:pt>
                <c:pt idx="37">
                  <c:v>45</c:v>
                </c:pt>
                <c:pt idx="38">
                  <c:v>49.5</c:v>
                </c:pt>
                <c:pt idx="39">
                  <c:v>54</c:v>
                </c:pt>
                <c:pt idx="40">
                  <c:v>58.5</c:v>
                </c:pt>
                <c:pt idx="41">
                  <c:v>63</c:v>
                </c:pt>
                <c:pt idx="42">
                  <c:v>67.5</c:v>
                </c:pt>
                <c:pt idx="43">
                  <c:v>72</c:v>
                </c:pt>
                <c:pt idx="44">
                  <c:v>76.5</c:v>
                </c:pt>
                <c:pt idx="45">
                  <c:v>81</c:v>
                </c:pt>
                <c:pt idx="46">
                  <c:v>85.5</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6"/>
          <c:order val="6"/>
          <c:tx>
            <c:strRef>
              <c:f>'GP Calcs'!$R$7</c:f>
              <c:strCache>
                <c:ptCount val="1"/>
                <c:pt idx="0">
                  <c:v>Total</c:v>
                </c:pt>
              </c:strCache>
            </c:strRef>
          </c:tx>
          <c:spPr>
            <a:ln w="28575">
              <a:solidFill>
                <a:schemeClr val="tx1"/>
              </a:solidFill>
              <a:prstDash val="dash"/>
            </a:ln>
          </c:spPr>
          <c:marker>
            <c:symbol val="none"/>
          </c:marker>
          <c:xVal>
            <c:numRef>
              <c:f>'GP Calcs'!$B$8:$B$69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Calcs'!$R$8:$R$69</c:f>
              <c:numCache>
                <c:formatCode>0</c:formatCode>
                <c:ptCount val="62"/>
                <c:pt idx="0">
                  <c:v>0</c:v>
                </c:pt>
                <c:pt idx="1">
                  <c:v>0</c:v>
                </c:pt>
                <c:pt idx="2">
                  <c:v>0</c:v>
                </c:pt>
                <c:pt idx="3">
                  <c:v>0</c:v>
                </c:pt>
                <c:pt idx="4">
                  <c:v>0</c:v>
                </c:pt>
                <c:pt idx="5">
                  <c:v>0</c:v>
                </c:pt>
                <c:pt idx="6">
                  <c:v>0</c:v>
                </c:pt>
                <c:pt idx="7">
                  <c:v>0</c:v>
                </c:pt>
                <c:pt idx="8">
                  <c:v>0</c:v>
                </c:pt>
                <c:pt idx="9">
                  <c:v>0</c:v>
                </c:pt>
                <c:pt idx="10">
                  <c:v>-4.5</c:v>
                </c:pt>
                <c:pt idx="11">
                  <c:v>-9</c:v>
                </c:pt>
                <c:pt idx="12">
                  <c:v>-13.5</c:v>
                </c:pt>
                <c:pt idx="13">
                  <c:v>-18</c:v>
                </c:pt>
                <c:pt idx="14">
                  <c:v>-22.5</c:v>
                </c:pt>
                <c:pt idx="15">
                  <c:v>-27</c:v>
                </c:pt>
                <c:pt idx="16">
                  <c:v>-31.5</c:v>
                </c:pt>
                <c:pt idx="17">
                  <c:v>-36</c:v>
                </c:pt>
                <c:pt idx="18">
                  <c:v>-40.5</c:v>
                </c:pt>
                <c:pt idx="19">
                  <c:v>-45</c:v>
                </c:pt>
                <c:pt idx="20">
                  <c:v>-49.5</c:v>
                </c:pt>
                <c:pt idx="21">
                  <c:v>-54</c:v>
                </c:pt>
                <c:pt idx="22">
                  <c:v>-58.5</c:v>
                </c:pt>
                <c:pt idx="23">
                  <c:v>-63</c:v>
                </c:pt>
                <c:pt idx="24">
                  <c:v>-67.5</c:v>
                </c:pt>
                <c:pt idx="25">
                  <c:v>-72</c:v>
                </c:pt>
                <c:pt idx="26">
                  <c:v>-76.5</c:v>
                </c:pt>
                <c:pt idx="27">
                  <c:v>-85.5</c:v>
                </c:pt>
                <c:pt idx="28">
                  <c:v>-90</c:v>
                </c:pt>
                <c:pt idx="29">
                  <c:v>-94.5</c:v>
                </c:pt>
                <c:pt idx="30">
                  <c:v>-94.5</c:v>
                </c:pt>
                <c:pt idx="31">
                  <c:v>-94.5</c:v>
                </c:pt>
                <c:pt idx="32">
                  <c:v>-94.5</c:v>
                </c:pt>
                <c:pt idx="33">
                  <c:v>-94.5</c:v>
                </c:pt>
                <c:pt idx="34">
                  <c:v>-94.5</c:v>
                </c:pt>
                <c:pt idx="35">
                  <c:v>-94.5</c:v>
                </c:pt>
                <c:pt idx="36">
                  <c:v>-94.5</c:v>
                </c:pt>
                <c:pt idx="37">
                  <c:v>-94.5</c:v>
                </c:pt>
                <c:pt idx="38">
                  <c:v>-94.5</c:v>
                </c:pt>
                <c:pt idx="39">
                  <c:v>-94.5</c:v>
                </c:pt>
                <c:pt idx="40">
                  <c:v>-94.5</c:v>
                </c:pt>
                <c:pt idx="41">
                  <c:v>-94.5</c:v>
                </c:pt>
                <c:pt idx="42">
                  <c:v>-94.5</c:v>
                </c:pt>
                <c:pt idx="43">
                  <c:v>-94.5</c:v>
                </c:pt>
                <c:pt idx="44">
                  <c:v>-94.5</c:v>
                </c:pt>
                <c:pt idx="45">
                  <c:v>-94.5</c:v>
                </c:pt>
                <c:pt idx="46">
                  <c:v>-94.5</c:v>
                </c:pt>
                <c:pt idx="47">
                  <c:v>-90</c:v>
                </c:pt>
                <c:pt idx="48">
                  <c:v>-90</c:v>
                </c:pt>
                <c:pt idx="49">
                  <c:v>-90</c:v>
                </c:pt>
                <c:pt idx="50">
                  <c:v>-85.5</c:v>
                </c:pt>
                <c:pt idx="51">
                  <c:v>-81</c:v>
                </c:pt>
                <c:pt idx="52">
                  <c:v>-76.5</c:v>
                </c:pt>
                <c:pt idx="53">
                  <c:v>-72</c:v>
                </c:pt>
                <c:pt idx="54">
                  <c:v>-67.5</c:v>
                </c:pt>
                <c:pt idx="55">
                  <c:v>-63</c:v>
                </c:pt>
                <c:pt idx="56">
                  <c:v>-58.5</c:v>
                </c:pt>
                <c:pt idx="57">
                  <c:v>-54</c:v>
                </c:pt>
                <c:pt idx="58">
                  <c:v>-49.5</c:v>
                </c:pt>
                <c:pt idx="59">
                  <c:v>-45</c:v>
                </c:pt>
                <c:pt idx="60">
                  <c:v>-40.5</c:v>
                </c:pt>
                <c:pt idx="61">
                  <c:v>-36</c:v>
                </c:pt>
              </c:numCache>
            </c:numRef>
          </c:yVal>
        </c:ser>
        <c:axId val="82101760"/>
        <c:axId val="82103680"/>
      </c:scatterChart>
      <c:valAx>
        <c:axId val="82101760"/>
        <c:scaling>
          <c:logBase val="10"/>
          <c:orientation val="minMax"/>
          <c:max val="1000000"/>
        </c:scaling>
        <c:axPos val="b"/>
        <c:majorGridlines/>
        <c:minorGridlines/>
        <c:title>
          <c:tx>
            <c:rich>
              <a:bodyPr/>
              <a:lstStyle/>
              <a:p>
                <a:pPr>
                  <a:defRPr/>
                </a:pPr>
                <a:r>
                  <a:rPr lang="en-US"/>
                  <a:t>Frequency</a:t>
                </a:r>
              </a:p>
            </c:rich>
          </c:tx>
          <c:layout/>
        </c:title>
        <c:numFmt formatCode="0.E+00" sourceLinked="0"/>
        <c:tickLblPos val="nextTo"/>
        <c:crossAx val="82103680"/>
        <c:crossesAt val="-180"/>
        <c:crossBetween val="midCat"/>
      </c:valAx>
      <c:valAx>
        <c:axId val="82103680"/>
        <c:scaling>
          <c:orientation val="minMax"/>
          <c:max val="30"/>
          <c:min val="-180"/>
        </c:scaling>
        <c:axPos val="l"/>
        <c:majorGridlines/>
        <c:minorGridlines>
          <c:spPr>
            <a:ln>
              <a:prstDash val="sysDot"/>
            </a:ln>
          </c:spPr>
        </c:minorGridlines>
        <c:title>
          <c:tx>
            <c:rich>
              <a:bodyPr rot="-5400000" vert="horz"/>
              <a:lstStyle/>
              <a:p>
                <a:pPr>
                  <a:defRPr/>
                </a:pPr>
                <a:r>
                  <a:rPr lang="en-US"/>
                  <a:t>Phase (Degrees)</a:t>
                </a:r>
              </a:p>
            </c:rich>
          </c:tx>
          <c:layout>
            <c:manualLayout>
              <c:xMode val="edge"/>
              <c:yMode val="edge"/>
              <c:x val="1.0214619452162721E-4"/>
              <c:y val="0.30591183401345007"/>
            </c:manualLayout>
          </c:layout>
        </c:title>
        <c:numFmt formatCode="0" sourceLinked="0"/>
        <c:tickLblPos val="nextTo"/>
        <c:crossAx val="82101760"/>
        <c:crossesAt val="1"/>
        <c:crossBetween val="midCat"/>
        <c:majorUnit val="30"/>
        <c:minorUnit val="15"/>
      </c:valAx>
      <c:spPr>
        <a:ln>
          <a:solidFill>
            <a:sysClr val="windowText" lastClr="000000"/>
          </a:solidFill>
        </a:ln>
      </c:spPr>
    </c:plotArea>
    <c:legend>
      <c:legendPos val="r"/>
      <c:layout>
        <c:manualLayout>
          <c:xMode val="edge"/>
          <c:yMode val="edge"/>
          <c:x val="9.9425346191871752E-2"/>
          <c:y val="0.41746205544868531"/>
          <c:w val="0.12570550263057842"/>
          <c:h val="0.41588829900925978"/>
        </c:manualLayout>
      </c:layout>
      <c:spPr>
        <a:solidFill>
          <a:sysClr val="window" lastClr="FFFFFF"/>
        </a:solidFill>
        <a:ln>
          <a:solidFill>
            <a:srgbClr val="4F81BD"/>
          </a:solidFill>
        </a:ln>
      </c:spPr>
    </c:legend>
    <c:plotVisOnly val="1"/>
  </c:chart>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Gain</a:t>
            </a:r>
            <a:r>
              <a:rPr lang="en-US" baseline="0"/>
              <a:t> vs. Frequency</a:t>
            </a:r>
            <a:endParaRPr lang="en-US"/>
          </a:p>
        </c:rich>
      </c:tx>
      <c:layout>
        <c:manualLayout>
          <c:xMode val="edge"/>
          <c:yMode val="edge"/>
          <c:x val="0.39640736565201218"/>
          <c:y val="0"/>
        </c:manualLayout>
      </c:layout>
    </c:title>
    <c:plotArea>
      <c:layout>
        <c:manualLayout>
          <c:layoutTarget val="inner"/>
          <c:xMode val="edge"/>
          <c:yMode val="edge"/>
          <c:x val="8.8558975223925765E-2"/>
          <c:y val="0.12388068512712505"/>
          <c:w val="0.86483035671683228"/>
          <c:h val="0.74622406241772965"/>
        </c:manualLayout>
      </c:layout>
      <c:scatterChart>
        <c:scatterStyle val="lineMarker"/>
        <c:ser>
          <c:idx val="0"/>
          <c:order val="0"/>
          <c:tx>
            <c:strRef>
              <c:f>'GP Calcs (2)'!$C$7</c:f>
              <c:strCache>
                <c:ptCount val="1"/>
                <c:pt idx="0">
                  <c:v>GtotDC</c:v>
                </c:pt>
              </c:strCache>
            </c:strRef>
          </c:tx>
          <c:spPr>
            <a:ln w="19050">
              <a:solidFill>
                <a:srgbClr val="C00000"/>
              </a:solidFill>
            </a:ln>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(2)'!$C$8:$C$69</c:f>
              <c:numCache>
                <c:formatCode>0.0</c:formatCode>
                <c:ptCount val="62"/>
                <c:pt idx="0">
                  <c:v>62.162276172922262</c:v>
                </c:pt>
                <c:pt idx="1">
                  <c:v>62.162276172922262</c:v>
                </c:pt>
                <c:pt idx="2">
                  <c:v>62.162276172922262</c:v>
                </c:pt>
                <c:pt idx="3">
                  <c:v>62.162276172922262</c:v>
                </c:pt>
                <c:pt idx="4">
                  <c:v>62.162276172922262</c:v>
                </c:pt>
                <c:pt idx="5">
                  <c:v>62.162276172922262</c:v>
                </c:pt>
                <c:pt idx="6">
                  <c:v>62.162276172922262</c:v>
                </c:pt>
                <c:pt idx="7">
                  <c:v>62.162276172922262</c:v>
                </c:pt>
                <c:pt idx="8">
                  <c:v>62.162276172922262</c:v>
                </c:pt>
                <c:pt idx="9">
                  <c:v>62.162276172922262</c:v>
                </c:pt>
                <c:pt idx="10">
                  <c:v>62.162276172922262</c:v>
                </c:pt>
                <c:pt idx="11">
                  <c:v>62.162276172922262</c:v>
                </c:pt>
                <c:pt idx="12">
                  <c:v>62.162276172922262</c:v>
                </c:pt>
                <c:pt idx="13">
                  <c:v>62.162276172922262</c:v>
                </c:pt>
                <c:pt idx="14">
                  <c:v>62.162276172922262</c:v>
                </c:pt>
                <c:pt idx="15">
                  <c:v>62.162276172922262</c:v>
                </c:pt>
                <c:pt idx="16">
                  <c:v>62.162276172922262</c:v>
                </c:pt>
                <c:pt idx="17">
                  <c:v>62.162276172922262</c:v>
                </c:pt>
                <c:pt idx="18">
                  <c:v>62.162276172922262</c:v>
                </c:pt>
                <c:pt idx="19">
                  <c:v>62.162276172922262</c:v>
                </c:pt>
                <c:pt idx="20">
                  <c:v>62.162276172922262</c:v>
                </c:pt>
                <c:pt idx="21">
                  <c:v>62.162276172922262</c:v>
                </c:pt>
                <c:pt idx="22">
                  <c:v>62.162276172922262</c:v>
                </c:pt>
                <c:pt idx="23">
                  <c:v>62.162276172922262</c:v>
                </c:pt>
                <c:pt idx="24">
                  <c:v>62.162276172922262</c:v>
                </c:pt>
                <c:pt idx="25">
                  <c:v>62.162276172922262</c:v>
                </c:pt>
                <c:pt idx="26">
                  <c:v>62.162276172922262</c:v>
                </c:pt>
                <c:pt idx="27">
                  <c:v>62.162276172922262</c:v>
                </c:pt>
                <c:pt idx="28">
                  <c:v>62.162276172922262</c:v>
                </c:pt>
                <c:pt idx="29">
                  <c:v>62.162276172922262</c:v>
                </c:pt>
                <c:pt idx="30">
                  <c:v>62.162276172922262</c:v>
                </c:pt>
                <c:pt idx="31">
                  <c:v>62.162276172922262</c:v>
                </c:pt>
                <c:pt idx="32">
                  <c:v>62.162276172922262</c:v>
                </c:pt>
                <c:pt idx="33">
                  <c:v>62.162276172922262</c:v>
                </c:pt>
                <c:pt idx="34">
                  <c:v>62.162276172922262</c:v>
                </c:pt>
                <c:pt idx="35">
                  <c:v>62.162276172922262</c:v>
                </c:pt>
                <c:pt idx="36">
                  <c:v>62.162276172922262</c:v>
                </c:pt>
                <c:pt idx="37">
                  <c:v>62.162276172922262</c:v>
                </c:pt>
                <c:pt idx="38">
                  <c:v>62.162276172922262</c:v>
                </c:pt>
                <c:pt idx="39">
                  <c:v>62.162276172922262</c:v>
                </c:pt>
                <c:pt idx="40">
                  <c:v>62.162276172922262</c:v>
                </c:pt>
                <c:pt idx="41">
                  <c:v>62.162276172922262</c:v>
                </c:pt>
                <c:pt idx="42">
                  <c:v>62.162276172922262</c:v>
                </c:pt>
                <c:pt idx="43">
                  <c:v>62.162276172922262</c:v>
                </c:pt>
                <c:pt idx="44">
                  <c:v>62.162276172922262</c:v>
                </c:pt>
                <c:pt idx="45">
                  <c:v>62.162276172922262</c:v>
                </c:pt>
                <c:pt idx="46">
                  <c:v>62.162276172922262</c:v>
                </c:pt>
                <c:pt idx="47">
                  <c:v>62.162276172922262</c:v>
                </c:pt>
                <c:pt idx="48">
                  <c:v>62.162276172922262</c:v>
                </c:pt>
                <c:pt idx="49">
                  <c:v>62.162276172922262</c:v>
                </c:pt>
                <c:pt idx="50">
                  <c:v>62.162276172922262</c:v>
                </c:pt>
                <c:pt idx="51">
                  <c:v>62.162276172922262</c:v>
                </c:pt>
                <c:pt idx="52">
                  <c:v>62.162276172922262</c:v>
                </c:pt>
                <c:pt idx="53">
                  <c:v>62.162276172922262</c:v>
                </c:pt>
                <c:pt idx="54">
                  <c:v>62.162276172922262</c:v>
                </c:pt>
                <c:pt idx="55">
                  <c:v>62.162276172922262</c:v>
                </c:pt>
                <c:pt idx="56">
                  <c:v>62.162276172922262</c:v>
                </c:pt>
                <c:pt idx="57">
                  <c:v>62.162276172922262</c:v>
                </c:pt>
                <c:pt idx="58">
                  <c:v>62.162276172922262</c:v>
                </c:pt>
                <c:pt idx="59">
                  <c:v>62.162276172922262</c:v>
                </c:pt>
                <c:pt idx="60">
                  <c:v>62.162276172922262</c:v>
                </c:pt>
                <c:pt idx="61">
                  <c:v>62.162276172922262</c:v>
                </c:pt>
              </c:numCache>
            </c:numRef>
          </c:yVal>
        </c:ser>
        <c:ser>
          <c:idx val="1"/>
          <c:order val="1"/>
          <c:tx>
            <c:strRef>
              <c:f>'GP Calcs (2)'!$D$7</c:f>
              <c:strCache>
                <c:ptCount val="1"/>
                <c:pt idx="0">
                  <c:v>Fpo</c:v>
                </c:pt>
              </c:strCache>
            </c:strRef>
          </c:tx>
          <c:spPr>
            <a:ln w="19050">
              <a:solidFill>
                <a:schemeClr val="tx2"/>
              </a:solidFill>
            </a:ln>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(2)'!$D$8:$D$69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-2</c:v>
                </c:pt>
                <c:pt idx="38">
                  <c:v>-4</c:v>
                </c:pt>
                <c:pt idx="39">
                  <c:v>-6</c:v>
                </c:pt>
                <c:pt idx="40">
                  <c:v>-8</c:v>
                </c:pt>
                <c:pt idx="41">
                  <c:v>-10</c:v>
                </c:pt>
                <c:pt idx="42">
                  <c:v>-12</c:v>
                </c:pt>
                <c:pt idx="43">
                  <c:v>-14</c:v>
                </c:pt>
                <c:pt idx="44">
                  <c:v>-16</c:v>
                </c:pt>
                <c:pt idx="45">
                  <c:v>-18</c:v>
                </c:pt>
                <c:pt idx="46">
                  <c:v>-20</c:v>
                </c:pt>
                <c:pt idx="47">
                  <c:v>-22</c:v>
                </c:pt>
                <c:pt idx="48">
                  <c:v>-24</c:v>
                </c:pt>
                <c:pt idx="49">
                  <c:v>-26</c:v>
                </c:pt>
                <c:pt idx="50">
                  <c:v>-28</c:v>
                </c:pt>
                <c:pt idx="51">
                  <c:v>-30</c:v>
                </c:pt>
                <c:pt idx="52">
                  <c:v>-32</c:v>
                </c:pt>
                <c:pt idx="53">
                  <c:v>-34</c:v>
                </c:pt>
                <c:pt idx="54">
                  <c:v>-36</c:v>
                </c:pt>
                <c:pt idx="55">
                  <c:v>-38</c:v>
                </c:pt>
                <c:pt idx="56">
                  <c:v>-40</c:v>
                </c:pt>
                <c:pt idx="57">
                  <c:v>-42</c:v>
                </c:pt>
                <c:pt idx="58">
                  <c:v>-44</c:v>
                </c:pt>
                <c:pt idx="59">
                  <c:v>-46</c:v>
                </c:pt>
                <c:pt idx="60">
                  <c:v>-48</c:v>
                </c:pt>
                <c:pt idx="61">
                  <c:v>-50</c:v>
                </c:pt>
              </c:numCache>
            </c:numRef>
          </c:yVal>
        </c:ser>
        <c:ser>
          <c:idx val="2"/>
          <c:order val="2"/>
          <c:tx>
            <c:strRef>
              <c:f>'GP Calcs (2)'!$E$7</c:f>
              <c:strCache>
                <c:ptCount val="1"/>
                <c:pt idx="0">
                  <c:v>Fzo</c:v>
                </c:pt>
              </c:strCache>
            </c:strRef>
          </c:tx>
          <c:spPr>
            <a:ln w="19050"/>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(2)'!$E$8:$E$69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2</c:v>
                </c:pt>
              </c:numCache>
            </c:numRef>
          </c:yVal>
        </c:ser>
        <c:ser>
          <c:idx val="3"/>
          <c:order val="3"/>
          <c:tx>
            <c:strRef>
              <c:f>'GP Calcs (2)'!$F$7</c:f>
              <c:strCache>
                <c:ptCount val="1"/>
                <c:pt idx="0">
                  <c:v>FPea1</c:v>
                </c:pt>
              </c:strCache>
            </c:strRef>
          </c:tx>
          <c:spPr>
            <a:ln w="19050">
              <a:solidFill>
                <a:srgbClr val="00B050">
                  <a:alpha val="50000"/>
                </a:srgbClr>
              </a:solidFill>
            </a:ln>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(2)'!$F$8:$F$69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c:v>
                </c:pt>
                <c:pt idx="16">
                  <c:v>-6</c:v>
                </c:pt>
                <c:pt idx="17">
                  <c:v>-8</c:v>
                </c:pt>
                <c:pt idx="18">
                  <c:v>-10</c:v>
                </c:pt>
                <c:pt idx="19">
                  <c:v>-12</c:v>
                </c:pt>
                <c:pt idx="20">
                  <c:v>-14</c:v>
                </c:pt>
                <c:pt idx="21">
                  <c:v>-16</c:v>
                </c:pt>
                <c:pt idx="22">
                  <c:v>-18</c:v>
                </c:pt>
                <c:pt idx="23">
                  <c:v>-20</c:v>
                </c:pt>
                <c:pt idx="24">
                  <c:v>-22</c:v>
                </c:pt>
                <c:pt idx="25">
                  <c:v>-24</c:v>
                </c:pt>
                <c:pt idx="26">
                  <c:v>-26</c:v>
                </c:pt>
                <c:pt idx="27">
                  <c:v>-28</c:v>
                </c:pt>
                <c:pt idx="28">
                  <c:v>-30</c:v>
                </c:pt>
                <c:pt idx="29">
                  <c:v>-32</c:v>
                </c:pt>
                <c:pt idx="30">
                  <c:v>-34</c:v>
                </c:pt>
                <c:pt idx="31">
                  <c:v>-36</c:v>
                </c:pt>
                <c:pt idx="32">
                  <c:v>-38</c:v>
                </c:pt>
                <c:pt idx="33">
                  <c:v>-40</c:v>
                </c:pt>
                <c:pt idx="34">
                  <c:v>-42</c:v>
                </c:pt>
                <c:pt idx="35">
                  <c:v>-44</c:v>
                </c:pt>
                <c:pt idx="36">
                  <c:v>-46</c:v>
                </c:pt>
                <c:pt idx="37">
                  <c:v>-48</c:v>
                </c:pt>
                <c:pt idx="38">
                  <c:v>-50</c:v>
                </c:pt>
                <c:pt idx="39">
                  <c:v>-52</c:v>
                </c:pt>
                <c:pt idx="40">
                  <c:v>-54</c:v>
                </c:pt>
                <c:pt idx="41">
                  <c:v>-56</c:v>
                </c:pt>
                <c:pt idx="42">
                  <c:v>-58</c:v>
                </c:pt>
                <c:pt idx="43">
                  <c:v>-60</c:v>
                </c:pt>
                <c:pt idx="44">
                  <c:v>-62</c:v>
                </c:pt>
                <c:pt idx="45">
                  <c:v>-64</c:v>
                </c:pt>
                <c:pt idx="46">
                  <c:v>-66</c:v>
                </c:pt>
                <c:pt idx="47">
                  <c:v>-68</c:v>
                </c:pt>
                <c:pt idx="48">
                  <c:v>-70</c:v>
                </c:pt>
                <c:pt idx="49">
                  <c:v>-72</c:v>
                </c:pt>
                <c:pt idx="50">
                  <c:v>-74</c:v>
                </c:pt>
                <c:pt idx="51">
                  <c:v>-76</c:v>
                </c:pt>
                <c:pt idx="52">
                  <c:v>-78</c:v>
                </c:pt>
                <c:pt idx="53">
                  <c:v>-80</c:v>
                </c:pt>
                <c:pt idx="54">
                  <c:v>-82</c:v>
                </c:pt>
                <c:pt idx="55">
                  <c:v>-84</c:v>
                </c:pt>
                <c:pt idx="56">
                  <c:v>-86</c:v>
                </c:pt>
                <c:pt idx="57">
                  <c:v>-88</c:v>
                </c:pt>
                <c:pt idx="58">
                  <c:v>-90</c:v>
                </c:pt>
                <c:pt idx="59">
                  <c:v>-92</c:v>
                </c:pt>
                <c:pt idx="60">
                  <c:v>-94</c:v>
                </c:pt>
                <c:pt idx="61">
                  <c:v>-96</c:v>
                </c:pt>
              </c:numCache>
            </c:numRef>
          </c:yVal>
        </c:ser>
        <c:ser>
          <c:idx val="4"/>
          <c:order val="4"/>
          <c:tx>
            <c:strRef>
              <c:f>'GP Calcs (2)'!$G$7</c:f>
              <c:strCache>
                <c:ptCount val="1"/>
                <c:pt idx="0">
                  <c:v>FPea2</c:v>
                </c:pt>
              </c:strCache>
            </c:strRef>
          </c:tx>
          <c:spPr>
            <a:ln w="19050"/>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(2)'!$G$8:$G$69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-2</c:v>
                </c:pt>
              </c:numCache>
            </c:numRef>
          </c:yVal>
        </c:ser>
        <c:ser>
          <c:idx val="5"/>
          <c:order val="5"/>
          <c:tx>
            <c:strRef>
              <c:f>'GP Calcs (2)'!$H$7</c:f>
              <c:strCache>
                <c:ptCount val="1"/>
                <c:pt idx="0">
                  <c:v>Fzea</c:v>
                </c:pt>
              </c:strCache>
            </c:strRef>
          </c:tx>
          <c:spPr>
            <a:ln w="19050"/>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(2)'!$H$8:$H$69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2</c:v>
                </c:pt>
                <c:pt idx="38">
                  <c:v>4</c:v>
                </c:pt>
                <c:pt idx="39">
                  <c:v>6</c:v>
                </c:pt>
                <c:pt idx="40">
                  <c:v>8</c:v>
                </c:pt>
                <c:pt idx="41">
                  <c:v>10</c:v>
                </c:pt>
                <c:pt idx="42">
                  <c:v>12</c:v>
                </c:pt>
                <c:pt idx="43">
                  <c:v>14</c:v>
                </c:pt>
                <c:pt idx="44">
                  <c:v>16</c:v>
                </c:pt>
                <c:pt idx="45">
                  <c:v>18</c:v>
                </c:pt>
                <c:pt idx="46">
                  <c:v>20</c:v>
                </c:pt>
                <c:pt idx="47">
                  <c:v>22</c:v>
                </c:pt>
                <c:pt idx="48">
                  <c:v>24</c:v>
                </c:pt>
                <c:pt idx="49">
                  <c:v>26</c:v>
                </c:pt>
                <c:pt idx="50">
                  <c:v>28</c:v>
                </c:pt>
                <c:pt idx="51">
                  <c:v>30</c:v>
                </c:pt>
                <c:pt idx="52">
                  <c:v>32</c:v>
                </c:pt>
                <c:pt idx="53">
                  <c:v>34</c:v>
                </c:pt>
                <c:pt idx="54">
                  <c:v>36</c:v>
                </c:pt>
                <c:pt idx="55">
                  <c:v>38</c:v>
                </c:pt>
                <c:pt idx="56">
                  <c:v>40</c:v>
                </c:pt>
                <c:pt idx="57">
                  <c:v>42</c:v>
                </c:pt>
                <c:pt idx="58">
                  <c:v>44</c:v>
                </c:pt>
                <c:pt idx="59">
                  <c:v>46</c:v>
                </c:pt>
                <c:pt idx="60">
                  <c:v>48</c:v>
                </c:pt>
                <c:pt idx="61">
                  <c:v>50</c:v>
                </c:pt>
              </c:numCache>
            </c:numRef>
          </c:yVal>
        </c:ser>
        <c:ser>
          <c:idx val="9"/>
          <c:order val="6"/>
          <c:tx>
            <c:strRef>
              <c:f>'GP Calcs (2)'!$J$2</c:f>
              <c:strCache>
                <c:ptCount val="1"/>
                <c:pt idx="0">
                  <c:v>Fco</c:v>
                </c:pt>
              </c:strCache>
            </c:strRef>
          </c:tx>
          <c:spPr>
            <a:ln>
              <a:noFill/>
            </a:ln>
          </c:spPr>
          <c:marker>
            <c:symbol val="circle"/>
            <c:size val="7"/>
            <c:spPr>
              <a:noFill/>
              <a:ln w="19050">
                <a:solidFill>
                  <a:prstClr val="black"/>
                </a:solidFill>
              </a:ln>
            </c:spPr>
          </c:marker>
          <c:xVal>
            <c:numRef>
              <c:f>'GP Calcs (2)'!$J$3</c:f>
              <c:numCache>
                <c:formatCode>0</c:formatCode>
                <c:ptCount val="1"/>
                <c:pt idx="0">
                  <c:v>31622.77660168384</c:v>
                </c:pt>
              </c:numCache>
            </c:numRef>
          </c:xVal>
          <c:yVal>
            <c:numLit>
              <c:formatCode>General</c:formatCode>
              <c:ptCount val="1"/>
              <c:pt idx="0">
                <c:v>0</c:v>
              </c:pt>
            </c:numLit>
          </c:yVal>
        </c:ser>
        <c:ser>
          <c:idx val="6"/>
          <c:order val="7"/>
          <c:tx>
            <c:strRef>
              <c:f>'GP Calcs (2)'!$I$7</c:f>
              <c:strCache>
                <c:ptCount val="1"/>
                <c:pt idx="0">
                  <c:v>Total</c:v>
                </c:pt>
              </c:strCache>
            </c:strRef>
          </c:tx>
          <c:spPr>
            <a:ln>
              <a:solidFill>
                <a:schemeClr val="tx1"/>
              </a:solidFill>
              <a:prstDash val="dash"/>
            </a:ln>
          </c:spPr>
          <c:marker>
            <c:symbol val="none"/>
          </c:marker>
          <c:xVal>
            <c:numRef>
              <c:f>'GP Calcs (2)'!$B$8:$B$69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(2)'!$I$8:$I$69</c:f>
              <c:numCache>
                <c:formatCode>General</c:formatCode>
                <c:ptCount val="62"/>
                <c:pt idx="0">
                  <c:v>62.162276172922262</c:v>
                </c:pt>
                <c:pt idx="1">
                  <c:v>62.162276172922262</c:v>
                </c:pt>
                <c:pt idx="2">
                  <c:v>62.162276172922262</c:v>
                </c:pt>
                <c:pt idx="3">
                  <c:v>62.162276172922262</c:v>
                </c:pt>
                <c:pt idx="4">
                  <c:v>62.162276172922262</c:v>
                </c:pt>
                <c:pt idx="5">
                  <c:v>62.162276172922262</c:v>
                </c:pt>
                <c:pt idx="6">
                  <c:v>62.162276172922262</c:v>
                </c:pt>
                <c:pt idx="7">
                  <c:v>62.162276172922262</c:v>
                </c:pt>
                <c:pt idx="8">
                  <c:v>62.162276172922262</c:v>
                </c:pt>
                <c:pt idx="9">
                  <c:v>62.162276172922262</c:v>
                </c:pt>
                <c:pt idx="10">
                  <c:v>62.162276172922262</c:v>
                </c:pt>
                <c:pt idx="11">
                  <c:v>62.162276172922262</c:v>
                </c:pt>
                <c:pt idx="12">
                  <c:v>62.162276172922262</c:v>
                </c:pt>
                <c:pt idx="13">
                  <c:v>62.162276172922262</c:v>
                </c:pt>
                <c:pt idx="14">
                  <c:v>60.162276172922262</c:v>
                </c:pt>
                <c:pt idx="15">
                  <c:v>58.162276172922262</c:v>
                </c:pt>
                <c:pt idx="16">
                  <c:v>56.162276172922262</c:v>
                </c:pt>
                <c:pt idx="17">
                  <c:v>54.162276172922262</c:v>
                </c:pt>
                <c:pt idx="18">
                  <c:v>52.162276172922262</c:v>
                </c:pt>
                <c:pt idx="19">
                  <c:v>50.162276172922262</c:v>
                </c:pt>
                <c:pt idx="20">
                  <c:v>48.162276172922262</c:v>
                </c:pt>
                <c:pt idx="21">
                  <c:v>46.162276172922262</c:v>
                </c:pt>
                <c:pt idx="22">
                  <c:v>44.162276172922262</c:v>
                </c:pt>
                <c:pt idx="23">
                  <c:v>42.162276172922262</c:v>
                </c:pt>
                <c:pt idx="24">
                  <c:v>40.162276172922262</c:v>
                </c:pt>
                <c:pt idx="25">
                  <c:v>38.162276172922262</c:v>
                </c:pt>
                <c:pt idx="26">
                  <c:v>36.162276172922262</c:v>
                </c:pt>
                <c:pt idx="27">
                  <c:v>34.162276172922262</c:v>
                </c:pt>
                <c:pt idx="28">
                  <c:v>32.162276172922262</c:v>
                </c:pt>
                <c:pt idx="29">
                  <c:v>30.162276172922262</c:v>
                </c:pt>
                <c:pt idx="30">
                  <c:v>28.162276172922262</c:v>
                </c:pt>
                <c:pt idx="31">
                  <c:v>26.162276172922262</c:v>
                </c:pt>
                <c:pt idx="32">
                  <c:v>24.162276172922262</c:v>
                </c:pt>
                <c:pt idx="33">
                  <c:v>22.162276172922262</c:v>
                </c:pt>
                <c:pt idx="34">
                  <c:v>20.162276172922262</c:v>
                </c:pt>
                <c:pt idx="35">
                  <c:v>18.162276172922262</c:v>
                </c:pt>
                <c:pt idx="36">
                  <c:v>16.162276172922262</c:v>
                </c:pt>
                <c:pt idx="37">
                  <c:v>14.162276172922262</c:v>
                </c:pt>
                <c:pt idx="38">
                  <c:v>12.162276172922262</c:v>
                </c:pt>
                <c:pt idx="39">
                  <c:v>10.162276172922262</c:v>
                </c:pt>
                <c:pt idx="40">
                  <c:v>8.1622761729222617</c:v>
                </c:pt>
                <c:pt idx="41">
                  <c:v>6.1622761729222617</c:v>
                </c:pt>
                <c:pt idx="42">
                  <c:v>4.1622761729222617</c:v>
                </c:pt>
                <c:pt idx="43">
                  <c:v>2.1622761729222617</c:v>
                </c:pt>
                <c:pt idx="44">
                  <c:v>0.16227617292226171</c:v>
                </c:pt>
                <c:pt idx="45">
                  <c:v>-1.8377238270777383</c:v>
                </c:pt>
                <c:pt idx="46">
                  <c:v>-3.8377238270777383</c:v>
                </c:pt>
                <c:pt idx="47">
                  <c:v>-5.8377238270777383</c:v>
                </c:pt>
                <c:pt idx="48">
                  <c:v>-7.8377238270777383</c:v>
                </c:pt>
                <c:pt idx="49">
                  <c:v>-9.8377238270777383</c:v>
                </c:pt>
                <c:pt idx="50">
                  <c:v>-11.837723827077738</c:v>
                </c:pt>
                <c:pt idx="51">
                  <c:v>-13.837723827077738</c:v>
                </c:pt>
                <c:pt idx="52">
                  <c:v>-15.837723827077738</c:v>
                </c:pt>
                <c:pt idx="53">
                  <c:v>-17.837723827077738</c:v>
                </c:pt>
                <c:pt idx="54">
                  <c:v>-19.837723827077738</c:v>
                </c:pt>
                <c:pt idx="55">
                  <c:v>-21.837723827077738</c:v>
                </c:pt>
                <c:pt idx="56">
                  <c:v>-23.837723827077738</c:v>
                </c:pt>
                <c:pt idx="57">
                  <c:v>-25.837723827077738</c:v>
                </c:pt>
                <c:pt idx="58">
                  <c:v>-27.837723827077738</c:v>
                </c:pt>
                <c:pt idx="59">
                  <c:v>-29.837723827077738</c:v>
                </c:pt>
                <c:pt idx="60">
                  <c:v>-31.837723827077738</c:v>
                </c:pt>
                <c:pt idx="61">
                  <c:v>-33.837723827077738</c:v>
                </c:pt>
              </c:numCache>
            </c:numRef>
          </c:yVal>
        </c:ser>
        <c:axId val="82806656"/>
        <c:axId val="82817024"/>
      </c:scatterChart>
      <c:valAx>
        <c:axId val="82806656"/>
        <c:scaling>
          <c:logBase val="10"/>
          <c:orientation val="minMax"/>
          <c:max val="1000000"/>
        </c:scaling>
        <c:axPos val="b"/>
        <c:majorGridlines/>
        <c:minorGridlines/>
        <c:title>
          <c:tx>
            <c:rich>
              <a:bodyPr/>
              <a:lstStyle/>
              <a:p>
                <a:pPr>
                  <a:defRPr/>
                </a:pPr>
                <a:r>
                  <a:rPr lang="en-US"/>
                  <a:t>Frequency</a:t>
                </a:r>
              </a:p>
            </c:rich>
          </c:tx>
          <c:layout/>
        </c:title>
        <c:numFmt formatCode="0.E+00" sourceLinked="0"/>
        <c:tickLblPos val="nextTo"/>
        <c:crossAx val="82817024"/>
        <c:crossesAt val="-180"/>
        <c:crossBetween val="midCat"/>
      </c:valAx>
      <c:valAx>
        <c:axId val="82817024"/>
        <c:scaling>
          <c:orientation val="minMax"/>
          <c:max val="80"/>
          <c:min val="-20"/>
        </c:scaling>
        <c:axPos val="l"/>
        <c:majorGridlines/>
        <c:minorGridlines>
          <c:spPr>
            <a:ln>
              <a:prstDash val="sysDot"/>
            </a:ln>
          </c:spPr>
        </c:minorGridlines>
        <c:title>
          <c:tx>
            <c:rich>
              <a:bodyPr rot="-5400000" vert="horz"/>
              <a:lstStyle/>
              <a:p>
                <a:pPr>
                  <a:defRPr/>
                </a:pPr>
                <a:r>
                  <a:rPr lang="en-US"/>
                  <a:t>Gain (dB)</a:t>
                </a:r>
              </a:p>
            </c:rich>
          </c:tx>
          <c:layout>
            <c:manualLayout>
              <c:xMode val="edge"/>
              <c:yMode val="edge"/>
              <c:x val="2.0748815642689696E-4"/>
              <c:y val="0.39854294808893581"/>
            </c:manualLayout>
          </c:layout>
        </c:title>
        <c:numFmt formatCode="0.0" sourceLinked="1"/>
        <c:tickLblPos val="nextTo"/>
        <c:crossAx val="82806656"/>
        <c:crossesAt val="1"/>
        <c:crossBetween val="midCat"/>
        <c:majorUnit val="20"/>
        <c:minorUnit val="10"/>
      </c:valAx>
      <c:spPr>
        <a:ln>
          <a:solidFill>
            <a:schemeClr val="tx1"/>
          </a:solidFill>
        </a:ln>
      </c:spPr>
    </c:plotArea>
    <c:legend>
      <c:legendPos val="r"/>
      <c:layout>
        <c:manualLayout>
          <c:xMode val="edge"/>
          <c:yMode val="edge"/>
          <c:x val="8.9775930251341909E-2"/>
          <c:y val="0.38006606978915736"/>
          <c:w val="0.12231397527507069"/>
          <c:h val="0.47506050003676348"/>
        </c:manualLayout>
      </c:layout>
      <c:spPr>
        <a:solidFill>
          <a:sysClr val="window" lastClr="FFFFFF"/>
        </a:solidFill>
        <a:ln>
          <a:solidFill>
            <a:srgbClr val="4F81BD"/>
          </a:solidFill>
        </a:ln>
      </c:spPr>
    </c:legend>
    <c:plotVisOnly val="1"/>
  </c:chart>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Phase vs. Frequency</a:t>
            </a:r>
          </a:p>
        </c:rich>
      </c:tx>
      <c:layout>
        <c:manualLayout>
          <c:xMode val="edge"/>
          <c:yMode val="edge"/>
          <c:x val="0.38738819992484375"/>
          <c:y val="0"/>
        </c:manualLayout>
      </c:layout>
      <c:overlay val="1"/>
    </c:title>
    <c:plotArea>
      <c:layout>
        <c:manualLayout>
          <c:layoutTarget val="inner"/>
          <c:xMode val="edge"/>
          <c:yMode val="edge"/>
          <c:x val="9.0062169511787346E-2"/>
          <c:y val="0.13679560127976703"/>
          <c:w val="0.86096874523480915"/>
          <c:h val="0.71210146176983369"/>
        </c:manualLayout>
      </c:layout>
      <c:scatterChart>
        <c:scatterStyle val="lineMarker"/>
        <c:ser>
          <c:idx val="0"/>
          <c:order val="0"/>
          <c:tx>
            <c:strRef>
              <c:f>'GP Calcs (2)'!$L$7</c:f>
              <c:strCache>
                <c:ptCount val="1"/>
                <c:pt idx="0">
                  <c:v>GtotDC</c:v>
                </c:pt>
              </c:strCache>
            </c:strRef>
          </c:tx>
          <c:spPr>
            <a:ln w="19050">
              <a:solidFill>
                <a:srgbClr val="C00000"/>
              </a:solidFill>
            </a:ln>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(2)'!$L$8:$L$69</c:f>
              <c:numCache>
                <c:formatCode>0.0</c:formatCode>
                <c:ptCount val="62"/>
                <c:pt idx="0">
                  <c:v>62.162276172922262</c:v>
                </c:pt>
                <c:pt idx="1">
                  <c:v>62.162276172922262</c:v>
                </c:pt>
                <c:pt idx="2">
                  <c:v>62.162276172922262</c:v>
                </c:pt>
                <c:pt idx="3">
                  <c:v>62.162276172922262</c:v>
                </c:pt>
                <c:pt idx="4">
                  <c:v>62.162276172922262</c:v>
                </c:pt>
                <c:pt idx="5">
                  <c:v>62.162276172922262</c:v>
                </c:pt>
                <c:pt idx="6">
                  <c:v>62.162276172922262</c:v>
                </c:pt>
                <c:pt idx="7">
                  <c:v>62.162276172922262</c:v>
                </c:pt>
                <c:pt idx="8">
                  <c:v>62.162276172922262</c:v>
                </c:pt>
                <c:pt idx="9">
                  <c:v>62.162276172922262</c:v>
                </c:pt>
                <c:pt idx="10">
                  <c:v>62.162276172922262</c:v>
                </c:pt>
                <c:pt idx="11">
                  <c:v>62.162276172922262</c:v>
                </c:pt>
                <c:pt idx="12">
                  <c:v>62.162276172922262</c:v>
                </c:pt>
                <c:pt idx="13">
                  <c:v>62.162276172922262</c:v>
                </c:pt>
                <c:pt idx="14">
                  <c:v>62.162276172922262</c:v>
                </c:pt>
                <c:pt idx="15">
                  <c:v>62.162276172922262</c:v>
                </c:pt>
                <c:pt idx="16">
                  <c:v>62.162276172922262</c:v>
                </c:pt>
                <c:pt idx="17">
                  <c:v>62.162276172922262</c:v>
                </c:pt>
                <c:pt idx="18">
                  <c:v>62.162276172922262</c:v>
                </c:pt>
                <c:pt idx="19">
                  <c:v>62.162276172922262</c:v>
                </c:pt>
                <c:pt idx="20">
                  <c:v>62.162276172922262</c:v>
                </c:pt>
                <c:pt idx="21">
                  <c:v>62.162276172922262</c:v>
                </c:pt>
                <c:pt idx="22">
                  <c:v>62.162276172922262</c:v>
                </c:pt>
                <c:pt idx="23">
                  <c:v>62.162276172922262</c:v>
                </c:pt>
                <c:pt idx="24">
                  <c:v>62.162276172922262</c:v>
                </c:pt>
                <c:pt idx="25">
                  <c:v>62.162276172922262</c:v>
                </c:pt>
                <c:pt idx="26">
                  <c:v>62.162276172922262</c:v>
                </c:pt>
                <c:pt idx="27">
                  <c:v>62.162276172922262</c:v>
                </c:pt>
                <c:pt idx="28">
                  <c:v>62.162276172922262</c:v>
                </c:pt>
                <c:pt idx="29">
                  <c:v>62.162276172922262</c:v>
                </c:pt>
                <c:pt idx="30">
                  <c:v>62.162276172922262</c:v>
                </c:pt>
                <c:pt idx="31">
                  <c:v>62.162276172922262</c:v>
                </c:pt>
                <c:pt idx="32">
                  <c:v>62.162276172922262</c:v>
                </c:pt>
                <c:pt idx="33">
                  <c:v>62.162276172922262</c:v>
                </c:pt>
                <c:pt idx="34">
                  <c:v>62.162276172922262</c:v>
                </c:pt>
                <c:pt idx="35">
                  <c:v>62.162276172922262</c:v>
                </c:pt>
                <c:pt idx="36">
                  <c:v>62.162276172922262</c:v>
                </c:pt>
                <c:pt idx="37">
                  <c:v>62.162276172922262</c:v>
                </c:pt>
                <c:pt idx="38">
                  <c:v>62.162276172922262</c:v>
                </c:pt>
                <c:pt idx="39">
                  <c:v>62.162276172922262</c:v>
                </c:pt>
                <c:pt idx="40">
                  <c:v>62.162276172922262</c:v>
                </c:pt>
                <c:pt idx="41">
                  <c:v>62.162276172922262</c:v>
                </c:pt>
                <c:pt idx="42">
                  <c:v>62.162276172922262</c:v>
                </c:pt>
                <c:pt idx="43">
                  <c:v>62.162276172922262</c:v>
                </c:pt>
                <c:pt idx="44">
                  <c:v>62.162276172922262</c:v>
                </c:pt>
                <c:pt idx="45">
                  <c:v>62.162276172922262</c:v>
                </c:pt>
                <c:pt idx="46">
                  <c:v>62.162276172922262</c:v>
                </c:pt>
                <c:pt idx="47">
                  <c:v>62.162276172922262</c:v>
                </c:pt>
                <c:pt idx="48">
                  <c:v>62.162276172922262</c:v>
                </c:pt>
                <c:pt idx="49">
                  <c:v>62.162276172922262</c:v>
                </c:pt>
                <c:pt idx="50">
                  <c:v>62.162276172922262</c:v>
                </c:pt>
                <c:pt idx="51">
                  <c:v>62.162276172922262</c:v>
                </c:pt>
                <c:pt idx="52">
                  <c:v>62.162276172922262</c:v>
                </c:pt>
                <c:pt idx="53">
                  <c:v>62.162276172922262</c:v>
                </c:pt>
                <c:pt idx="54">
                  <c:v>62.162276172922262</c:v>
                </c:pt>
                <c:pt idx="55">
                  <c:v>62.162276172922262</c:v>
                </c:pt>
                <c:pt idx="56">
                  <c:v>62.162276172922262</c:v>
                </c:pt>
                <c:pt idx="57">
                  <c:v>62.162276172922262</c:v>
                </c:pt>
                <c:pt idx="58">
                  <c:v>62.162276172922262</c:v>
                </c:pt>
                <c:pt idx="59">
                  <c:v>62.162276172922262</c:v>
                </c:pt>
                <c:pt idx="60">
                  <c:v>62.162276172922262</c:v>
                </c:pt>
                <c:pt idx="61">
                  <c:v>62.162276172922262</c:v>
                </c:pt>
              </c:numCache>
            </c:numRef>
          </c:yVal>
        </c:ser>
        <c:ser>
          <c:idx val="1"/>
          <c:order val="1"/>
          <c:tx>
            <c:strRef>
              <c:f>'GP Calcs (2)'!$M$7</c:f>
              <c:strCache>
                <c:ptCount val="1"/>
                <c:pt idx="0">
                  <c:v>Fpo</c:v>
                </c:pt>
              </c:strCache>
            </c:strRef>
          </c:tx>
          <c:spPr>
            <a:ln w="19050">
              <a:solidFill>
                <a:schemeClr val="tx2"/>
              </a:solidFill>
            </a:ln>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(2)'!$M$8:$M$69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-4.5</c:v>
                </c:pt>
                <c:pt idx="28">
                  <c:v>-9</c:v>
                </c:pt>
                <c:pt idx="29">
                  <c:v>-13.5</c:v>
                </c:pt>
                <c:pt idx="30">
                  <c:v>-18</c:v>
                </c:pt>
                <c:pt idx="31">
                  <c:v>-22.5</c:v>
                </c:pt>
                <c:pt idx="32">
                  <c:v>-27</c:v>
                </c:pt>
                <c:pt idx="33">
                  <c:v>-31.5</c:v>
                </c:pt>
                <c:pt idx="34">
                  <c:v>-36</c:v>
                </c:pt>
                <c:pt idx="35">
                  <c:v>-40.5</c:v>
                </c:pt>
                <c:pt idx="36">
                  <c:v>-45</c:v>
                </c:pt>
                <c:pt idx="37">
                  <c:v>-49.5</c:v>
                </c:pt>
                <c:pt idx="38">
                  <c:v>-54</c:v>
                </c:pt>
                <c:pt idx="39">
                  <c:v>-58.5</c:v>
                </c:pt>
                <c:pt idx="40">
                  <c:v>-63</c:v>
                </c:pt>
                <c:pt idx="41">
                  <c:v>-67.5</c:v>
                </c:pt>
                <c:pt idx="42">
                  <c:v>-72</c:v>
                </c:pt>
                <c:pt idx="43">
                  <c:v>-76.5</c:v>
                </c:pt>
                <c:pt idx="44">
                  <c:v>-81</c:v>
                </c:pt>
                <c:pt idx="45">
                  <c:v>-85.5</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2"/>
          <c:order val="2"/>
          <c:tx>
            <c:strRef>
              <c:f>'GP Calcs (2)'!$N$7</c:f>
              <c:strCache>
                <c:ptCount val="1"/>
                <c:pt idx="0">
                  <c:v>Fzo</c:v>
                </c:pt>
              </c:strCache>
            </c:strRef>
          </c:tx>
          <c:spPr>
            <a:ln w="19050"/>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(2)'!$N$8:$N$69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4.5</c:v>
                </c:pt>
                <c:pt idx="52">
                  <c:v>9</c:v>
                </c:pt>
                <c:pt idx="53">
                  <c:v>13.5</c:v>
                </c:pt>
                <c:pt idx="54">
                  <c:v>18</c:v>
                </c:pt>
                <c:pt idx="55">
                  <c:v>22.5</c:v>
                </c:pt>
                <c:pt idx="56">
                  <c:v>27</c:v>
                </c:pt>
                <c:pt idx="57">
                  <c:v>31.5</c:v>
                </c:pt>
                <c:pt idx="58">
                  <c:v>36</c:v>
                </c:pt>
                <c:pt idx="59">
                  <c:v>40.5</c:v>
                </c:pt>
                <c:pt idx="60">
                  <c:v>45</c:v>
                </c:pt>
                <c:pt idx="61">
                  <c:v>49.5</c:v>
                </c:pt>
              </c:numCache>
            </c:numRef>
          </c:yVal>
        </c:ser>
        <c:ser>
          <c:idx val="3"/>
          <c:order val="3"/>
          <c:tx>
            <c:strRef>
              <c:f>'GP Calcs (2)'!$O$7</c:f>
              <c:strCache>
                <c:ptCount val="1"/>
                <c:pt idx="0">
                  <c:v>FPea1</c:v>
                </c:pt>
              </c:strCache>
            </c:strRef>
          </c:tx>
          <c:spPr>
            <a:ln w="19050">
              <a:solidFill>
                <a:srgbClr val="00B050">
                  <a:alpha val="50000"/>
                </a:srgbClr>
              </a:solidFill>
            </a:ln>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(2)'!$O$8:$O$69</c:f>
              <c:numCache>
                <c:formatCode>0.0</c:formatCode>
                <c:ptCount val="62"/>
                <c:pt idx="0">
                  <c:v>0</c:v>
                </c:pt>
                <c:pt idx="1">
                  <c:v>0</c:v>
                </c:pt>
                <c:pt idx="2">
                  <c:v>0</c:v>
                </c:pt>
                <c:pt idx="3">
                  <c:v>0</c:v>
                </c:pt>
                <c:pt idx="4">
                  <c:v>-4.5</c:v>
                </c:pt>
                <c:pt idx="5">
                  <c:v>-9</c:v>
                </c:pt>
                <c:pt idx="6">
                  <c:v>-13.5</c:v>
                </c:pt>
                <c:pt idx="7">
                  <c:v>-18</c:v>
                </c:pt>
                <c:pt idx="8">
                  <c:v>-22.5</c:v>
                </c:pt>
                <c:pt idx="9">
                  <c:v>-27</c:v>
                </c:pt>
                <c:pt idx="10">
                  <c:v>-31.5</c:v>
                </c:pt>
                <c:pt idx="11">
                  <c:v>-36</c:v>
                </c:pt>
                <c:pt idx="12">
                  <c:v>-40.5</c:v>
                </c:pt>
                <c:pt idx="13">
                  <c:v>-45</c:v>
                </c:pt>
                <c:pt idx="14">
                  <c:v>-49.5</c:v>
                </c:pt>
                <c:pt idx="15">
                  <c:v>-54</c:v>
                </c:pt>
                <c:pt idx="16">
                  <c:v>-58.5</c:v>
                </c:pt>
                <c:pt idx="17">
                  <c:v>-63</c:v>
                </c:pt>
                <c:pt idx="18">
                  <c:v>-67.5</c:v>
                </c:pt>
                <c:pt idx="19">
                  <c:v>-72</c:v>
                </c:pt>
                <c:pt idx="20">
                  <c:v>-76.5</c:v>
                </c:pt>
                <c:pt idx="21">
                  <c:v>-81</c:v>
                </c:pt>
                <c:pt idx="22">
                  <c:v>-85.5</c:v>
                </c:pt>
                <c:pt idx="23">
                  <c:v>-90</c:v>
                </c:pt>
                <c:pt idx="24">
                  <c:v>-90</c:v>
                </c:pt>
                <c:pt idx="25">
                  <c:v>-90</c:v>
                </c:pt>
                <c:pt idx="26">
                  <c:v>-90</c:v>
                </c:pt>
                <c:pt idx="27">
                  <c:v>-90</c:v>
                </c:pt>
                <c:pt idx="28">
                  <c:v>-90</c:v>
                </c:pt>
                <c:pt idx="29">
                  <c:v>-90</c:v>
                </c:pt>
                <c:pt idx="30">
                  <c:v>-90</c:v>
                </c:pt>
                <c:pt idx="31">
                  <c:v>-90</c:v>
                </c:pt>
                <c:pt idx="32">
                  <c:v>-90</c:v>
                </c:pt>
                <c:pt idx="33">
                  <c:v>-90</c:v>
                </c:pt>
                <c:pt idx="34">
                  <c:v>-90</c:v>
                </c:pt>
                <c:pt idx="35">
                  <c:v>-90</c:v>
                </c:pt>
                <c:pt idx="36">
                  <c:v>-90</c:v>
                </c:pt>
                <c:pt idx="37">
                  <c:v>-90</c:v>
                </c:pt>
                <c:pt idx="38">
                  <c:v>-90</c:v>
                </c:pt>
                <c:pt idx="39">
                  <c:v>-90</c:v>
                </c:pt>
                <c:pt idx="40">
                  <c:v>-90</c:v>
                </c:pt>
                <c:pt idx="41">
                  <c:v>-90</c:v>
                </c:pt>
                <c:pt idx="42">
                  <c:v>-90</c:v>
                </c:pt>
                <c:pt idx="43">
                  <c:v>-90</c:v>
                </c:pt>
                <c:pt idx="44">
                  <c:v>-90</c:v>
                </c:pt>
                <c:pt idx="45">
                  <c:v>-90</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4"/>
          <c:order val="4"/>
          <c:tx>
            <c:strRef>
              <c:f>'GP Calcs (2)'!$P$7</c:f>
              <c:strCache>
                <c:ptCount val="1"/>
                <c:pt idx="0">
                  <c:v>FPea2</c:v>
                </c:pt>
              </c:strCache>
            </c:strRef>
          </c:tx>
          <c:spPr>
            <a:ln w="19050"/>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(2)'!$P$8:$P$69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-4.5</c:v>
                </c:pt>
                <c:pt idx="52">
                  <c:v>-9</c:v>
                </c:pt>
                <c:pt idx="53">
                  <c:v>-13.5</c:v>
                </c:pt>
                <c:pt idx="54">
                  <c:v>-18</c:v>
                </c:pt>
                <c:pt idx="55">
                  <c:v>-22.5</c:v>
                </c:pt>
                <c:pt idx="56">
                  <c:v>-27</c:v>
                </c:pt>
                <c:pt idx="57">
                  <c:v>-31.5</c:v>
                </c:pt>
                <c:pt idx="58">
                  <c:v>-36</c:v>
                </c:pt>
                <c:pt idx="59">
                  <c:v>-40.5</c:v>
                </c:pt>
                <c:pt idx="60">
                  <c:v>-45</c:v>
                </c:pt>
                <c:pt idx="61">
                  <c:v>-49.5</c:v>
                </c:pt>
              </c:numCache>
            </c:numRef>
          </c:yVal>
        </c:ser>
        <c:ser>
          <c:idx val="5"/>
          <c:order val="5"/>
          <c:tx>
            <c:strRef>
              <c:f>'GP Calcs (2)'!$Q$7</c:f>
              <c:strCache>
                <c:ptCount val="1"/>
                <c:pt idx="0">
                  <c:v>Fzea</c:v>
                </c:pt>
              </c:strCache>
            </c:strRef>
          </c:tx>
          <c:spPr>
            <a:ln w="19050"/>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(2)'!$Q$8:$Q$69</c:f>
              <c:numCache>
                <c:formatCode>0.0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4.5</c:v>
                </c:pt>
                <c:pt idx="28">
                  <c:v>9</c:v>
                </c:pt>
                <c:pt idx="29">
                  <c:v>13.5</c:v>
                </c:pt>
                <c:pt idx="30">
                  <c:v>18</c:v>
                </c:pt>
                <c:pt idx="31">
                  <c:v>22.5</c:v>
                </c:pt>
                <c:pt idx="32">
                  <c:v>27</c:v>
                </c:pt>
                <c:pt idx="33">
                  <c:v>31.5</c:v>
                </c:pt>
                <c:pt idx="34">
                  <c:v>36</c:v>
                </c:pt>
                <c:pt idx="35">
                  <c:v>40.5</c:v>
                </c:pt>
                <c:pt idx="36">
                  <c:v>45</c:v>
                </c:pt>
                <c:pt idx="37">
                  <c:v>49.5</c:v>
                </c:pt>
                <c:pt idx="38">
                  <c:v>54</c:v>
                </c:pt>
                <c:pt idx="39">
                  <c:v>58.5</c:v>
                </c:pt>
                <c:pt idx="40">
                  <c:v>63</c:v>
                </c:pt>
                <c:pt idx="41">
                  <c:v>67.5</c:v>
                </c:pt>
                <c:pt idx="42">
                  <c:v>72</c:v>
                </c:pt>
                <c:pt idx="43">
                  <c:v>76.5</c:v>
                </c:pt>
                <c:pt idx="44">
                  <c:v>81</c:v>
                </c:pt>
                <c:pt idx="45">
                  <c:v>85.5</c:v>
                </c:pt>
                <c:pt idx="46">
                  <c:v>90</c:v>
                </c:pt>
                <c:pt idx="47">
                  <c:v>90</c:v>
                </c:pt>
                <c:pt idx="48">
                  <c:v>90</c:v>
                </c:pt>
                <c:pt idx="49">
                  <c:v>90</c:v>
                </c:pt>
                <c:pt idx="50">
                  <c:v>90</c:v>
                </c:pt>
                <c:pt idx="51">
                  <c:v>90</c:v>
                </c:pt>
                <c:pt idx="52">
                  <c:v>90</c:v>
                </c:pt>
                <c:pt idx="53">
                  <c:v>90</c:v>
                </c:pt>
                <c:pt idx="54">
                  <c:v>90</c:v>
                </c:pt>
                <c:pt idx="55">
                  <c:v>90</c:v>
                </c:pt>
                <c:pt idx="56">
                  <c:v>90</c:v>
                </c:pt>
                <c:pt idx="57">
                  <c:v>90</c:v>
                </c:pt>
                <c:pt idx="58">
                  <c:v>90</c:v>
                </c:pt>
                <c:pt idx="59">
                  <c:v>90</c:v>
                </c:pt>
                <c:pt idx="60">
                  <c:v>90</c:v>
                </c:pt>
                <c:pt idx="61">
                  <c:v>90</c:v>
                </c:pt>
              </c:numCache>
            </c:numRef>
          </c:yVal>
        </c:ser>
        <c:ser>
          <c:idx val="6"/>
          <c:order val="6"/>
          <c:tx>
            <c:strRef>
              <c:f>'GP Calcs (2)'!$R$7</c:f>
              <c:strCache>
                <c:ptCount val="1"/>
                <c:pt idx="0">
                  <c:v>Total</c:v>
                </c:pt>
              </c:strCache>
            </c:strRef>
          </c:tx>
          <c:spPr>
            <a:ln w="19050">
              <a:solidFill>
                <a:schemeClr val="accent2">
                  <a:lumMod val="60000"/>
                  <a:lumOff val="40000"/>
                </a:schemeClr>
              </a:solidFill>
            </a:ln>
          </c:spPr>
          <c:marker>
            <c:symbol val="none"/>
          </c:marker>
          <c:xVal>
            <c:numRef>
              <c:f>'GP Calcs (2)'!$K$8:$K$69</c:f>
              <c:numCache>
                <c:formatCode>0.00</c:formatCode>
                <c:ptCount val="62"/>
                <c:pt idx="0">
                  <c:v>1</c:v>
                </c:pt>
                <c:pt idx="1">
                  <c:v>1.2589254117941673</c:v>
                </c:pt>
                <c:pt idx="2">
                  <c:v>1.5848931924611136</c:v>
                </c:pt>
                <c:pt idx="3">
                  <c:v>1.99526231496888</c:v>
                </c:pt>
                <c:pt idx="4">
                  <c:v>2.5118864315095806</c:v>
                </c:pt>
                <c:pt idx="5">
                  <c:v>3.1622776601683795</c:v>
                </c:pt>
                <c:pt idx="6">
                  <c:v>3.9810717055349736</c:v>
                </c:pt>
                <c:pt idx="7">
                  <c:v>5.0118723362727238</c:v>
                </c:pt>
                <c:pt idx="8">
                  <c:v>6.3095734448019343</c:v>
                </c:pt>
                <c:pt idx="9">
                  <c:v>7.9432823472428176</c:v>
                </c:pt>
                <c:pt idx="10">
                  <c:v>10</c:v>
                </c:pt>
                <c:pt idx="11">
                  <c:v>12.58925411794168</c:v>
                </c:pt>
                <c:pt idx="12">
                  <c:v>15.848931924611144</c:v>
                </c:pt>
                <c:pt idx="13">
                  <c:v>19.952623149688804</c:v>
                </c:pt>
                <c:pt idx="14">
                  <c:v>25.118864315095809</c:v>
                </c:pt>
                <c:pt idx="15">
                  <c:v>31.622776601683803</c:v>
                </c:pt>
                <c:pt idx="16">
                  <c:v>39.810717055349755</c:v>
                </c:pt>
                <c:pt idx="17">
                  <c:v>50.118723362727259</c:v>
                </c:pt>
                <c:pt idx="18">
                  <c:v>63.095734448019364</c:v>
                </c:pt>
                <c:pt idx="19">
                  <c:v>79.432823472428197</c:v>
                </c:pt>
                <c:pt idx="20">
                  <c:v>100</c:v>
                </c:pt>
                <c:pt idx="21">
                  <c:v>125.89254117941677</c:v>
                </c:pt>
                <c:pt idx="22">
                  <c:v>158.48931924611153</c:v>
                </c:pt>
                <c:pt idx="23">
                  <c:v>199.52623149688819</c:v>
                </c:pt>
                <c:pt idx="24">
                  <c:v>251.18864315095828</c:v>
                </c:pt>
                <c:pt idx="25">
                  <c:v>316.22776601683825</c:v>
                </c:pt>
                <c:pt idx="26">
                  <c:v>398.10717055349761</c:v>
                </c:pt>
                <c:pt idx="27">
                  <c:v>501.18723362727269</c:v>
                </c:pt>
                <c:pt idx="28">
                  <c:v>630.9573444801938</c:v>
                </c:pt>
                <c:pt idx="29">
                  <c:v>794.32823472428277</c:v>
                </c:pt>
                <c:pt idx="30">
                  <c:v>1000</c:v>
                </c:pt>
                <c:pt idx="31">
                  <c:v>1258.925411794168</c:v>
                </c:pt>
                <c:pt idx="32">
                  <c:v>1584.8931924611156</c:v>
                </c:pt>
                <c:pt idx="33">
                  <c:v>1995.2623149688823</c:v>
                </c:pt>
                <c:pt idx="34">
                  <c:v>2511.8864315095834</c:v>
                </c:pt>
                <c:pt idx="35">
                  <c:v>3162.2776601683804</c:v>
                </c:pt>
                <c:pt idx="36">
                  <c:v>3981.0717055349769</c:v>
                </c:pt>
                <c:pt idx="37">
                  <c:v>5011.8723362727324</c:v>
                </c:pt>
                <c:pt idx="38">
                  <c:v>6309.5734448019384</c:v>
                </c:pt>
                <c:pt idx="39">
                  <c:v>7943.2823472428299</c:v>
                </c:pt>
                <c:pt idx="40">
                  <c:v>10000</c:v>
                </c:pt>
                <c:pt idx="41">
                  <c:v>12589.254117941693</c:v>
                </c:pt>
                <c:pt idx="42">
                  <c:v>15848.931924611146</c:v>
                </c:pt>
                <c:pt idx="43">
                  <c:v>19952.623149688792</c:v>
                </c:pt>
                <c:pt idx="44">
                  <c:v>25118.86431509586</c:v>
                </c:pt>
                <c:pt idx="45">
                  <c:v>31622.77660168384</c:v>
                </c:pt>
                <c:pt idx="46">
                  <c:v>39810.717055349814</c:v>
                </c:pt>
                <c:pt idx="47">
                  <c:v>50118.723362727294</c:v>
                </c:pt>
                <c:pt idx="48">
                  <c:v>63095.734448019459</c:v>
                </c:pt>
                <c:pt idx="49">
                  <c:v>79432.823472428237</c:v>
                </c:pt>
                <c:pt idx="50">
                  <c:v>100000</c:v>
                </c:pt>
                <c:pt idx="51">
                  <c:v>125892.54117941708</c:v>
                </c:pt>
                <c:pt idx="52">
                  <c:v>158489.31924611164</c:v>
                </c:pt>
                <c:pt idx="53">
                  <c:v>199526.2314968885</c:v>
                </c:pt>
                <c:pt idx="54">
                  <c:v>251188.64315095844</c:v>
                </c:pt>
                <c:pt idx="55">
                  <c:v>316227.7660168382</c:v>
                </c:pt>
                <c:pt idx="56">
                  <c:v>398107.17055349785</c:v>
                </c:pt>
                <c:pt idx="57">
                  <c:v>501187.23362727347</c:v>
                </c:pt>
                <c:pt idx="58">
                  <c:v>630957.34448019532</c:v>
                </c:pt>
                <c:pt idx="59">
                  <c:v>794328.23472428333</c:v>
                </c:pt>
                <c:pt idx="60">
                  <c:v>1000000</c:v>
                </c:pt>
                <c:pt idx="61">
                  <c:v>1258925.4117941698</c:v>
                </c:pt>
              </c:numCache>
            </c:numRef>
          </c:xVal>
          <c:yVal>
            <c:numRef>
              <c:f>'GP Calcs (2)'!$R$8:$R$69</c:f>
              <c:numCache>
                <c:formatCode>0</c:formatCode>
                <c:ptCount val="62"/>
                <c:pt idx="0">
                  <c:v>62.162276172922262</c:v>
                </c:pt>
                <c:pt idx="1">
                  <c:v>62.162276172922262</c:v>
                </c:pt>
                <c:pt idx="2">
                  <c:v>62.162276172922262</c:v>
                </c:pt>
                <c:pt idx="3">
                  <c:v>62.162276172922262</c:v>
                </c:pt>
                <c:pt idx="4">
                  <c:v>57.662276172922262</c:v>
                </c:pt>
                <c:pt idx="5">
                  <c:v>53.162276172922262</c:v>
                </c:pt>
                <c:pt idx="6">
                  <c:v>48.662276172922262</c:v>
                </c:pt>
                <c:pt idx="7">
                  <c:v>44.162276172922262</c:v>
                </c:pt>
                <c:pt idx="8">
                  <c:v>39.662276172922262</c:v>
                </c:pt>
                <c:pt idx="9">
                  <c:v>35.162276172922262</c:v>
                </c:pt>
                <c:pt idx="10">
                  <c:v>30.662276172922262</c:v>
                </c:pt>
                <c:pt idx="11">
                  <c:v>26.162276172922262</c:v>
                </c:pt>
                <c:pt idx="12">
                  <c:v>21.662276172922262</c:v>
                </c:pt>
                <c:pt idx="13">
                  <c:v>17.162276172922262</c:v>
                </c:pt>
                <c:pt idx="14">
                  <c:v>12.662276172922262</c:v>
                </c:pt>
                <c:pt idx="15">
                  <c:v>8.1622761729222617</c:v>
                </c:pt>
                <c:pt idx="16">
                  <c:v>3.6622761729222617</c:v>
                </c:pt>
                <c:pt idx="17">
                  <c:v>-0.83772382707773829</c:v>
                </c:pt>
                <c:pt idx="18">
                  <c:v>-5.3377238270777383</c:v>
                </c:pt>
                <c:pt idx="19">
                  <c:v>-9.8377238270777383</c:v>
                </c:pt>
                <c:pt idx="20">
                  <c:v>-14.337723827077738</c:v>
                </c:pt>
                <c:pt idx="21">
                  <c:v>-18.837723827077738</c:v>
                </c:pt>
                <c:pt idx="22">
                  <c:v>-23.337723827077738</c:v>
                </c:pt>
                <c:pt idx="23">
                  <c:v>-27.837723827077738</c:v>
                </c:pt>
                <c:pt idx="24">
                  <c:v>-27.837723827077738</c:v>
                </c:pt>
                <c:pt idx="25">
                  <c:v>-27.837723827077738</c:v>
                </c:pt>
                <c:pt idx="26">
                  <c:v>-27.837723827077738</c:v>
                </c:pt>
                <c:pt idx="27">
                  <c:v>-27.837723827077738</c:v>
                </c:pt>
                <c:pt idx="28">
                  <c:v>-27.837723827077738</c:v>
                </c:pt>
                <c:pt idx="29">
                  <c:v>-27.837723827077738</c:v>
                </c:pt>
                <c:pt idx="30">
                  <c:v>-27.837723827077738</c:v>
                </c:pt>
                <c:pt idx="31">
                  <c:v>-27.837723827077738</c:v>
                </c:pt>
                <c:pt idx="32">
                  <c:v>-27.837723827077738</c:v>
                </c:pt>
                <c:pt idx="33">
                  <c:v>-27.837723827077738</c:v>
                </c:pt>
                <c:pt idx="34">
                  <c:v>-27.837723827077738</c:v>
                </c:pt>
                <c:pt idx="35">
                  <c:v>-27.837723827077738</c:v>
                </c:pt>
                <c:pt idx="36">
                  <c:v>-27.837723827077738</c:v>
                </c:pt>
                <c:pt idx="37">
                  <c:v>-27.837723827077738</c:v>
                </c:pt>
                <c:pt idx="38">
                  <c:v>-27.837723827077738</c:v>
                </c:pt>
                <c:pt idx="39">
                  <c:v>-27.837723827077738</c:v>
                </c:pt>
                <c:pt idx="40">
                  <c:v>-27.837723827077738</c:v>
                </c:pt>
                <c:pt idx="41">
                  <c:v>-27.837723827077738</c:v>
                </c:pt>
                <c:pt idx="42">
                  <c:v>-27.837723827077738</c:v>
                </c:pt>
                <c:pt idx="43">
                  <c:v>-27.837723827077738</c:v>
                </c:pt>
                <c:pt idx="44">
                  <c:v>-27.837723827077738</c:v>
                </c:pt>
                <c:pt idx="45">
                  <c:v>-27.837723827077738</c:v>
                </c:pt>
                <c:pt idx="46">
                  <c:v>-27.837723827077738</c:v>
                </c:pt>
                <c:pt idx="47">
                  <c:v>-27.837723827077738</c:v>
                </c:pt>
                <c:pt idx="48">
                  <c:v>-27.837723827077738</c:v>
                </c:pt>
                <c:pt idx="49">
                  <c:v>-27.837723827077738</c:v>
                </c:pt>
                <c:pt idx="50">
                  <c:v>-27.837723827077738</c:v>
                </c:pt>
                <c:pt idx="51">
                  <c:v>-27.837723827077738</c:v>
                </c:pt>
                <c:pt idx="52">
                  <c:v>-27.837723827077738</c:v>
                </c:pt>
                <c:pt idx="53">
                  <c:v>-27.837723827077738</c:v>
                </c:pt>
                <c:pt idx="54">
                  <c:v>-27.837723827077738</c:v>
                </c:pt>
                <c:pt idx="55">
                  <c:v>-27.837723827077738</c:v>
                </c:pt>
                <c:pt idx="56">
                  <c:v>-27.837723827077738</c:v>
                </c:pt>
                <c:pt idx="57">
                  <c:v>-27.837723827077738</c:v>
                </c:pt>
                <c:pt idx="58">
                  <c:v>-27.837723827077738</c:v>
                </c:pt>
                <c:pt idx="59">
                  <c:v>-27.837723827077738</c:v>
                </c:pt>
                <c:pt idx="60">
                  <c:v>-27.837723827077738</c:v>
                </c:pt>
                <c:pt idx="61">
                  <c:v>-27.837723827077738</c:v>
                </c:pt>
              </c:numCache>
            </c:numRef>
          </c:yVal>
        </c:ser>
        <c:axId val="82998016"/>
        <c:axId val="82999936"/>
      </c:scatterChart>
      <c:valAx>
        <c:axId val="82998016"/>
        <c:scaling>
          <c:logBase val="10"/>
          <c:orientation val="minMax"/>
          <c:max val="1000000"/>
        </c:scaling>
        <c:axPos val="b"/>
        <c:majorGridlines/>
        <c:minorGridlines/>
        <c:title>
          <c:tx>
            <c:rich>
              <a:bodyPr/>
              <a:lstStyle/>
              <a:p>
                <a:pPr>
                  <a:defRPr/>
                </a:pPr>
                <a:r>
                  <a:rPr lang="en-US"/>
                  <a:t>Frequency</a:t>
                </a:r>
              </a:p>
            </c:rich>
          </c:tx>
          <c:layout/>
        </c:title>
        <c:numFmt formatCode="0.E+00" sourceLinked="0"/>
        <c:tickLblPos val="nextTo"/>
        <c:crossAx val="82999936"/>
        <c:crossesAt val="-180"/>
        <c:crossBetween val="midCat"/>
      </c:valAx>
      <c:valAx>
        <c:axId val="82999936"/>
        <c:scaling>
          <c:orientation val="minMax"/>
          <c:max val="30"/>
          <c:min val="-180"/>
        </c:scaling>
        <c:axPos val="l"/>
        <c:majorGridlines/>
        <c:minorGridlines>
          <c:spPr>
            <a:ln>
              <a:prstDash val="sysDot"/>
            </a:ln>
          </c:spPr>
        </c:minorGridlines>
        <c:title>
          <c:tx>
            <c:rich>
              <a:bodyPr rot="-5400000" vert="horz"/>
              <a:lstStyle/>
              <a:p>
                <a:pPr>
                  <a:defRPr/>
                </a:pPr>
                <a:r>
                  <a:rPr lang="en-US"/>
                  <a:t>Phase (Degrees)</a:t>
                </a:r>
              </a:p>
            </c:rich>
          </c:tx>
          <c:layout>
            <c:manualLayout>
              <c:xMode val="edge"/>
              <c:yMode val="edge"/>
              <c:x val="1.0214619452162721E-4"/>
              <c:y val="0.30591183401344996"/>
            </c:manualLayout>
          </c:layout>
        </c:title>
        <c:numFmt formatCode="0.0" sourceLinked="1"/>
        <c:tickLblPos val="nextTo"/>
        <c:crossAx val="82998016"/>
        <c:crossesAt val="1"/>
        <c:crossBetween val="midCat"/>
        <c:majorUnit val="30"/>
        <c:minorUnit val="15"/>
      </c:valAx>
      <c:spPr>
        <a:ln>
          <a:solidFill>
            <a:sysClr val="windowText" lastClr="000000"/>
          </a:solidFill>
        </a:ln>
      </c:spPr>
    </c:plotArea>
    <c:legend>
      <c:legendPos val="r"/>
      <c:layout>
        <c:manualLayout>
          <c:xMode val="edge"/>
          <c:yMode val="edge"/>
          <c:x val="9.287912882000332E-2"/>
          <c:y val="0.39265585908964329"/>
          <c:w val="0.12206874251452712"/>
          <c:h val="0.44423823770530685"/>
        </c:manualLayout>
      </c:layout>
      <c:spPr>
        <a:solidFill>
          <a:sysClr val="window" lastClr="FFFFFF"/>
        </a:solidFill>
        <a:ln>
          <a:solidFill>
            <a:srgbClr val="4F81BD"/>
          </a:solidFill>
        </a:ln>
      </c:spPr>
    </c:legend>
    <c:plotVisOnly val="1"/>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9526</xdr:colOff>
      <xdr:row>3</xdr:row>
      <xdr:rowOff>19051</xdr:rowOff>
    </xdr:from>
    <xdr:to>
      <xdr:col>16</xdr:col>
      <xdr:colOff>285750</xdr:colOff>
      <xdr:row>21</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xdr:colOff>
      <xdr:row>22</xdr:row>
      <xdr:rowOff>11906</xdr:rowOff>
    </xdr:from>
    <xdr:to>
      <xdr:col>16</xdr:col>
      <xdr:colOff>290511</xdr:colOff>
      <xdr:row>40</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xdr:colOff>
      <xdr:row>3</xdr:row>
      <xdr:rowOff>0</xdr:rowOff>
    </xdr:from>
    <xdr:to>
      <xdr:col>16</xdr:col>
      <xdr:colOff>290512</xdr:colOff>
      <xdr:row>20</xdr:row>
      <xdr:rowOff>178594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xdr:colOff>
      <xdr:row>22</xdr:row>
      <xdr:rowOff>0</xdr:rowOff>
    </xdr:from>
    <xdr:to>
      <xdr:col>16</xdr:col>
      <xdr:colOff>290511</xdr:colOff>
      <xdr:row>40</xdr:row>
      <xdr:rowOff>154782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B4"/>
  <sheetViews>
    <sheetView tabSelected="1" workbookViewId="0">
      <selection activeCell="B3" sqref="B3"/>
    </sheetView>
  </sheetViews>
  <sheetFormatPr defaultRowHeight="15"/>
  <cols>
    <col min="1" max="1" width="2.7109375" customWidth="1"/>
    <col min="2" max="2" width="99.42578125" customWidth="1"/>
  </cols>
  <sheetData>
    <row r="1" spans="2:2" ht="23.25">
      <c r="B1" s="57" t="s">
        <v>72</v>
      </c>
    </row>
    <row r="2" spans="2:2">
      <c r="B2" s="3" t="s">
        <v>71</v>
      </c>
    </row>
    <row r="4" spans="2:2" ht="225">
      <c r="B4" s="56" t="s">
        <v>73</v>
      </c>
    </row>
  </sheetData>
  <sheetProtection password="CB4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51"/>
  <sheetViews>
    <sheetView zoomScale="80" zoomScaleNormal="80" workbookViewId="0">
      <selection activeCell="C4" sqref="C4"/>
    </sheetView>
  </sheetViews>
  <sheetFormatPr defaultRowHeight="15"/>
  <cols>
    <col min="1" max="1" width="3" style="58" customWidth="1"/>
    <col min="2" max="2" width="12.7109375" style="58" customWidth="1"/>
    <col min="3" max="3" width="9.7109375" style="58" customWidth="1"/>
    <col min="4" max="4" width="5.7109375" style="59" customWidth="1"/>
    <col min="5" max="5" width="2.7109375" style="58" customWidth="1"/>
    <col min="6" max="17" width="9.140625" style="58"/>
    <col min="18" max="18" width="12" style="58" bestFit="1" customWidth="1"/>
    <col min="19" max="16384" width="9.140625" style="58"/>
  </cols>
  <sheetData>
    <row r="1" spans="1:17" ht="23.25">
      <c r="A1" s="65"/>
      <c r="B1" s="65"/>
      <c r="C1" s="65"/>
      <c r="D1" s="66"/>
      <c r="E1" s="65"/>
      <c r="F1" s="67" t="s">
        <v>63</v>
      </c>
      <c r="G1" s="65"/>
      <c r="H1" s="65"/>
      <c r="I1" s="65"/>
      <c r="J1" s="65"/>
      <c r="K1" s="65"/>
      <c r="L1" s="65"/>
      <c r="M1" s="65"/>
      <c r="N1" s="65"/>
      <c r="O1" s="65"/>
      <c r="P1" s="65"/>
      <c r="Q1" s="65"/>
    </row>
    <row r="2" spans="1:17">
      <c r="A2" s="65"/>
      <c r="B2" s="68" t="s">
        <v>62</v>
      </c>
      <c r="C2" s="65"/>
      <c r="D2" s="66"/>
      <c r="E2" s="65"/>
      <c r="F2" s="65" t="s">
        <v>71</v>
      </c>
      <c r="G2" s="65"/>
      <c r="H2" s="65"/>
      <c r="I2" s="65"/>
      <c r="J2" s="65"/>
      <c r="K2" s="65"/>
      <c r="L2" s="65"/>
      <c r="M2" s="65"/>
      <c r="N2" s="65"/>
      <c r="O2" s="65"/>
      <c r="P2" s="65"/>
      <c r="Q2" s="65"/>
    </row>
    <row r="3" spans="1:17">
      <c r="A3" s="65"/>
      <c r="B3" s="69" t="s">
        <v>61</v>
      </c>
      <c r="C3" s="61">
        <v>7665</v>
      </c>
      <c r="D3" s="70"/>
      <c r="E3" s="68" t="s">
        <v>69</v>
      </c>
      <c r="F3" s="65"/>
      <c r="G3" s="65"/>
      <c r="H3" s="65"/>
      <c r="I3" s="65"/>
      <c r="J3" s="65"/>
      <c r="K3" s="65"/>
      <c r="L3" s="65"/>
      <c r="M3" s="65"/>
      <c r="N3" s="65"/>
      <c r="O3" s="65"/>
      <c r="P3" s="65"/>
      <c r="Q3" s="65"/>
    </row>
    <row r="4" spans="1:17">
      <c r="A4" s="65"/>
      <c r="B4" s="71" t="s">
        <v>16</v>
      </c>
      <c r="C4" s="61">
        <v>12</v>
      </c>
      <c r="D4" s="70" t="s">
        <v>15</v>
      </c>
      <c r="E4" s="65"/>
      <c r="F4" s="65"/>
      <c r="G4" s="65"/>
      <c r="H4" s="65"/>
      <c r="I4" s="65"/>
      <c r="J4" s="65"/>
      <c r="K4" s="65"/>
      <c r="L4" s="65"/>
      <c r="M4" s="65"/>
      <c r="N4" s="65"/>
      <c r="O4" s="65"/>
      <c r="P4" s="65"/>
      <c r="Q4" s="65"/>
    </row>
    <row r="5" spans="1:17">
      <c r="A5" s="65"/>
      <c r="B5" s="71" t="s">
        <v>11</v>
      </c>
      <c r="C5" s="61">
        <v>5</v>
      </c>
      <c r="D5" s="70" t="s">
        <v>15</v>
      </c>
      <c r="E5" s="65"/>
      <c r="F5" s="65"/>
      <c r="G5" s="65"/>
      <c r="H5" s="65"/>
      <c r="I5" s="65"/>
      <c r="J5" s="65"/>
      <c r="K5" s="65"/>
      <c r="L5" s="65"/>
      <c r="M5" s="65"/>
      <c r="N5" s="65"/>
      <c r="O5" s="65"/>
      <c r="P5" s="65"/>
      <c r="Q5" s="65"/>
    </row>
    <row r="6" spans="1:17">
      <c r="A6" s="65"/>
      <c r="B6" s="71" t="s">
        <v>28</v>
      </c>
      <c r="C6" s="61">
        <v>1.5</v>
      </c>
      <c r="D6" s="70" t="s">
        <v>13</v>
      </c>
      <c r="E6" s="65"/>
      <c r="F6" s="65"/>
      <c r="G6" s="65"/>
      <c r="H6" s="65"/>
      <c r="I6" s="65"/>
      <c r="J6" s="65"/>
      <c r="K6" s="65"/>
      <c r="L6" s="65"/>
      <c r="M6" s="65"/>
      <c r="N6" s="65"/>
      <c r="O6" s="65"/>
      <c r="P6" s="65"/>
      <c r="Q6" s="65"/>
    </row>
    <row r="7" spans="1:17">
      <c r="A7" s="65"/>
      <c r="B7" s="71" t="s">
        <v>17</v>
      </c>
      <c r="C7" s="61">
        <v>10</v>
      </c>
      <c r="D7" s="70" t="s">
        <v>19</v>
      </c>
      <c r="E7" s="65"/>
      <c r="F7" s="65"/>
      <c r="G7" s="65"/>
      <c r="H7" s="65"/>
      <c r="I7" s="65"/>
      <c r="J7" s="65"/>
      <c r="K7" s="65"/>
      <c r="L7" s="65"/>
      <c r="M7" s="65"/>
      <c r="N7" s="65"/>
      <c r="O7" s="65"/>
      <c r="P7" s="65"/>
      <c r="Q7" s="65"/>
    </row>
    <row r="8" spans="1:17">
      <c r="A8" s="65"/>
      <c r="B8" s="71" t="s">
        <v>29</v>
      </c>
      <c r="C8" s="61">
        <v>20</v>
      </c>
      <c r="D8" s="72" t="s">
        <v>45</v>
      </c>
      <c r="E8" s="65"/>
      <c r="F8" s="65"/>
      <c r="G8" s="65"/>
      <c r="H8" s="65"/>
      <c r="I8" s="65"/>
      <c r="J8" s="65"/>
      <c r="K8" s="65"/>
      <c r="L8" s="65"/>
      <c r="M8" s="65"/>
      <c r="N8" s="65"/>
      <c r="O8" s="65"/>
      <c r="P8" s="65"/>
      <c r="Q8" s="65"/>
    </row>
    <row r="9" spans="1:17">
      <c r="A9" s="65"/>
      <c r="B9" s="71" t="s">
        <v>55</v>
      </c>
      <c r="C9" s="61">
        <v>8.06</v>
      </c>
      <c r="D9" s="72" t="s">
        <v>54</v>
      </c>
      <c r="E9" s="65"/>
      <c r="F9" s="65"/>
      <c r="G9" s="65"/>
      <c r="H9" s="65"/>
      <c r="I9" s="65"/>
      <c r="J9" s="65"/>
      <c r="K9" s="65"/>
      <c r="L9" s="65"/>
      <c r="M9" s="65"/>
      <c r="N9" s="65"/>
      <c r="O9" s="65"/>
      <c r="P9" s="65"/>
      <c r="Q9" s="65"/>
    </row>
    <row r="10" spans="1:17">
      <c r="A10" s="65"/>
      <c r="B10" s="71" t="s">
        <v>47</v>
      </c>
      <c r="C10" s="62">
        <v>3.3</v>
      </c>
      <c r="D10" s="70" t="s">
        <v>20</v>
      </c>
      <c r="E10" s="65"/>
      <c r="F10" s="65"/>
      <c r="G10" s="65"/>
      <c r="H10" s="65"/>
      <c r="I10" s="65"/>
      <c r="J10" s="65"/>
      <c r="K10" s="65"/>
      <c r="L10" s="65"/>
      <c r="M10" s="65"/>
      <c r="N10" s="65"/>
      <c r="O10" s="65"/>
      <c r="P10" s="65"/>
      <c r="Q10" s="65"/>
    </row>
    <row r="11" spans="1:17">
      <c r="A11" s="65"/>
      <c r="B11" s="71" t="s">
        <v>18</v>
      </c>
      <c r="C11" s="62">
        <v>0</v>
      </c>
      <c r="D11" s="70" t="s">
        <v>21</v>
      </c>
      <c r="E11" s="65"/>
      <c r="F11" s="65"/>
      <c r="G11" s="65"/>
      <c r="H11" s="65"/>
      <c r="I11" s="65"/>
      <c r="J11" s="65"/>
      <c r="K11" s="65"/>
      <c r="L11" s="65"/>
      <c r="M11" s="65"/>
      <c r="N11" s="65"/>
      <c r="O11" s="65"/>
      <c r="P11" s="65"/>
      <c r="Q11" s="65"/>
    </row>
    <row r="12" spans="1:17">
      <c r="A12" s="65"/>
      <c r="E12" s="65"/>
      <c r="F12" s="65"/>
      <c r="G12" s="74"/>
      <c r="H12" s="65"/>
      <c r="I12" s="65"/>
      <c r="J12" s="65"/>
      <c r="K12" s="65"/>
      <c r="L12" s="65"/>
      <c r="M12" s="65"/>
      <c r="N12" s="65"/>
      <c r="O12" s="65"/>
      <c r="P12" s="65"/>
      <c r="Q12" s="65"/>
    </row>
    <row r="13" spans="1:17">
      <c r="A13" s="65"/>
      <c r="B13" s="68" t="s">
        <v>65</v>
      </c>
      <c r="C13" s="65"/>
      <c r="D13" s="73"/>
      <c r="E13" s="65"/>
      <c r="F13" s="65"/>
      <c r="G13" s="74"/>
      <c r="H13" s="65"/>
      <c r="I13" s="65"/>
      <c r="J13" s="65"/>
      <c r="K13" s="65"/>
      <c r="L13" s="65"/>
      <c r="M13" s="65"/>
      <c r="N13" s="65"/>
      <c r="O13" s="65"/>
      <c r="P13" s="65"/>
      <c r="Q13" s="65"/>
    </row>
    <row r="14" spans="1:17">
      <c r="A14" s="65"/>
      <c r="B14" s="71" t="s">
        <v>33</v>
      </c>
      <c r="C14" s="75">
        <f>VLOOKUP(C3,B34:C37,2)</f>
        <v>5.2</v>
      </c>
      <c r="D14" s="70" t="s">
        <v>24</v>
      </c>
      <c r="E14" s="65"/>
      <c r="F14" s="65"/>
      <c r="G14" s="65"/>
      <c r="H14" s="65"/>
      <c r="I14" s="65"/>
      <c r="J14" s="65"/>
      <c r="K14" s="65"/>
      <c r="L14" s="65"/>
      <c r="M14" s="65"/>
      <c r="N14" s="65"/>
      <c r="O14" s="65"/>
      <c r="P14" s="65"/>
      <c r="Q14" s="65"/>
    </row>
    <row r="15" spans="1:17">
      <c r="A15" s="65"/>
      <c r="B15" s="71" t="s">
        <v>30</v>
      </c>
      <c r="C15" s="75">
        <v>500</v>
      </c>
      <c r="D15" s="72" t="s">
        <v>54</v>
      </c>
      <c r="E15" s="65"/>
      <c r="F15" s="65"/>
      <c r="G15" s="65"/>
      <c r="H15" s="65"/>
      <c r="I15" s="65"/>
      <c r="J15" s="65"/>
      <c r="K15" s="65"/>
      <c r="L15" s="65"/>
      <c r="M15" s="65"/>
      <c r="N15" s="65"/>
      <c r="O15" s="65"/>
      <c r="P15" s="65"/>
      <c r="Q15" s="65"/>
    </row>
    <row r="16" spans="1:17">
      <c r="A16" s="65"/>
      <c r="B16" s="71" t="s">
        <v>31</v>
      </c>
      <c r="C16" s="75">
        <v>800</v>
      </c>
      <c r="D16" s="70" t="s">
        <v>23</v>
      </c>
      <c r="E16" s="65"/>
      <c r="F16" s="65"/>
      <c r="G16" s="65"/>
      <c r="H16" s="65"/>
      <c r="I16" s="65"/>
      <c r="J16" s="65"/>
      <c r="K16" s="65"/>
      <c r="L16" s="65"/>
      <c r="M16" s="65"/>
      <c r="N16" s="65"/>
      <c r="O16" s="65"/>
      <c r="P16" s="65"/>
      <c r="Q16" s="65"/>
    </row>
    <row r="17" spans="1:18">
      <c r="A17" s="65"/>
      <c r="B17" s="71" t="s">
        <v>32</v>
      </c>
      <c r="C17" s="75">
        <v>400</v>
      </c>
      <c r="D17" s="70" t="s">
        <v>22</v>
      </c>
      <c r="E17" s="65"/>
      <c r="F17" s="65"/>
      <c r="G17" s="65"/>
      <c r="H17" s="65"/>
      <c r="I17" s="65"/>
      <c r="J17" s="65"/>
      <c r="K17" s="65"/>
      <c r="L17" s="65"/>
      <c r="M17" s="65"/>
      <c r="N17" s="65"/>
      <c r="O17" s="65"/>
      <c r="P17" s="65"/>
      <c r="Q17" s="65"/>
    </row>
    <row r="18" spans="1:18">
      <c r="A18" s="65"/>
      <c r="B18" s="71" t="s">
        <v>12</v>
      </c>
      <c r="C18" s="75">
        <v>0.92500000000000004</v>
      </c>
      <c r="D18" s="70" t="s">
        <v>15</v>
      </c>
      <c r="E18" s="65"/>
      <c r="F18" s="65"/>
      <c r="G18" s="65"/>
      <c r="H18" s="65"/>
      <c r="I18" s="65"/>
      <c r="J18" s="65"/>
      <c r="K18" s="65"/>
      <c r="L18" s="65"/>
      <c r="M18" s="65"/>
      <c r="N18" s="65"/>
      <c r="O18" s="65"/>
      <c r="P18" s="65"/>
      <c r="Q18" s="65"/>
    </row>
    <row r="19" spans="1:18">
      <c r="A19" s="65"/>
      <c r="B19" s="65"/>
      <c r="C19" s="65"/>
      <c r="D19" s="66"/>
      <c r="E19" s="65"/>
      <c r="F19" s="65"/>
      <c r="G19" s="65"/>
      <c r="H19" s="65"/>
      <c r="I19" s="65"/>
      <c r="J19" s="65"/>
      <c r="K19" s="65"/>
      <c r="L19" s="65"/>
      <c r="M19" s="65"/>
      <c r="N19" s="65"/>
      <c r="O19" s="65"/>
      <c r="P19" s="65"/>
      <c r="Q19" s="65"/>
    </row>
    <row r="20" spans="1:18">
      <c r="A20" s="65"/>
      <c r="B20" s="68" t="s">
        <v>56</v>
      </c>
      <c r="C20" s="65"/>
      <c r="D20" s="66"/>
      <c r="E20" s="65"/>
      <c r="F20" s="65"/>
      <c r="G20" s="65"/>
      <c r="H20" s="65"/>
      <c r="I20" s="65"/>
      <c r="J20" s="65"/>
      <c r="K20" s="65"/>
      <c r="L20" s="65"/>
      <c r="M20" s="65"/>
      <c r="N20" s="65"/>
      <c r="O20" s="65"/>
      <c r="P20" s="65"/>
      <c r="Q20" s="65"/>
    </row>
    <row r="21" spans="1:18">
      <c r="A21" s="65"/>
      <c r="B21" s="71" t="s">
        <v>34</v>
      </c>
      <c r="C21" s="76">
        <f>C18/C5</f>
        <v>0.185</v>
      </c>
      <c r="D21" s="70" t="s">
        <v>22</v>
      </c>
      <c r="E21" s="65"/>
      <c r="F21" s="65"/>
      <c r="G21" s="65"/>
      <c r="H21" s="65"/>
      <c r="I21" s="65"/>
      <c r="J21" s="65"/>
      <c r="K21" s="65"/>
      <c r="L21" s="65"/>
      <c r="M21" s="65"/>
      <c r="N21" s="65"/>
      <c r="O21" s="65"/>
      <c r="P21" s="65"/>
      <c r="Q21" s="65"/>
    </row>
    <row r="22" spans="1:18">
      <c r="A22" s="65"/>
      <c r="B22" s="71" t="s">
        <v>35</v>
      </c>
      <c r="C22" s="76">
        <f>C5/C6</f>
        <v>3.3333333333333335</v>
      </c>
      <c r="D22" s="72" t="s">
        <v>14</v>
      </c>
      <c r="E22" s="65"/>
      <c r="F22" s="65"/>
      <c r="G22" s="65"/>
      <c r="H22" s="65"/>
      <c r="I22" s="65"/>
      <c r="J22" s="65"/>
      <c r="K22" s="65"/>
      <c r="L22" s="65"/>
      <c r="M22" s="65"/>
      <c r="N22" s="65"/>
      <c r="O22" s="65"/>
      <c r="P22" s="65"/>
      <c r="Q22" s="65"/>
    </row>
    <row r="23" spans="1:18">
      <c r="A23" s="65"/>
      <c r="B23" s="71" t="s">
        <v>37</v>
      </c>
      <c r="C23" s="77">
        <f>C14*C22</f>
        <v>17.333333333333336</v>
      </c>
      <c r="D23" s="70" t="s">
        <v>22</v>
      </c>
      <c r="E23" s="65"/>
      <c r="F23" s="65"/>
      <c r="G23" s="65"/>
      <c r="H23" s="65"/>
      <c r="I23" s="65"/>
      <c r="J23" s="65"/>
      <c r="K23" s="65"/>
      <c r="L23" s="65"/>
      <c r="M23" s="65"/>
      <c r="N23" s="65"/>
      <c r="O23" s="65"/>
      <c r="P23" s="65"/>
      <c r="Q23" s="65"/>
    </row>
    <row r="24" spans="1:18">
      <c r="A24" s="65"/>
      <c r="B24" s="71" t="s">
        <v>36</v>
      </c>
      <c r="C24" s="78">
        <f>C21*C17*C23</f>
        <v>1282.6666666666667</v>
      </c>
      <c r="D24" s="70" t="s">
        <v>22</v>
      </c>
      <c r="E24" s="65"/>
      <c r="F24" s="65"/>
      <c r="G24" s="65"/>
      <c r="H24" s="65"/>
      <c r="I24" s="65"/>
      <c r="J24" s="65"/>
      <c r="K24" s="65"/>
      <c r="L24" s="65"/>
      <c r="M24" s="65"/>
      <c r="N24" s="65"/>
      <c r="O24" s="65"/>
      <c r="P24" s="65"/>
      <c r="Q24" s="65"/>
    </row>
    <row r="25" spans="1:18">
      <c r="A25" s="65"/>
      <c r="B25" s="71" t="s">
        <v>38</v>
      </c>
      <c r="C25" s="78">
        <f>20*LOG(C24)</f>
        <v>62.162276172922262</v>
      </c>
      <c r="D25" s="70" t="s">
        <v>7</v>
      </c>
      <c r="E25" s="65"/>
      <c r="F25" s="65"/>
      <c r="G25" s="65"/>
      <c r="H25" s="65"/>
      <c r="I25" s="65"/>
      <c r="J25" s="65"/>
      <c r="K25" s="65"/>
      <c r="L25" s="65"/>
      <c r="M25" s="65"/>
      <c r="N25" s="65"/>
      <c r="O25" s="65"/>
      <c r="P25" s="65"/>
      <c r="Q25" s="65"/>
    </row>
    <row r="26" spans="1:18">
      <c r="A26" s="65"/>
      <c r="B26" s="71" t="s">
        <v>41</v>
      </c>
      <c r="C26" s="78">
        <f>1/(2*PI()*(C7*0.000001)*((C8*0.001)+C22))</f>
        <v>4746.1712651658654</v>
      </c>
      <c r="D26" s="70" t="s">
        <v>2</v>
      </c>
      <c r="E26" s="65"/>
      <c r="F26" s="65"/>
      <c r="G26" s="65"/>
      <c r="H26" s="65"/>
      <c r="I26" s="65"/>
      <c r="J26" s="65"/>
      <c r="K26" s="65"/>
      <c r="L26" s="65"/>
      <c r="M26" s="65"/>
      <c r="N26" s="65"/>
      <c r="O26" s="65"/>
      <c r="P26" s="65"/>
      <c r="Q26" s="65"/>
    </row>
    <row r="27" spans="1:18">
      <c r="A27" s="65"/>
      <c r="B27" s="71" t="s">
        <v>40</v>
      </c>
      <c r="C27" s="78">
        <f>0.001/(2*PI()*(C7*0.000001)*(C8*0.001))</f>
        <v>795.77471545947685</v>
      </c>
      <c r="D27" s="70" t="s">
        <v>25</v>
      </c>
      <c r="E27" s="65"/>
      <c r="F27" s="65"/>
      <c r="G27" s="65"/>
      <c r="H27" s="65"/>
      <c r="I27" s="65"/>
      <c r="J27" s="65"/>
      <c r="K27" s="65"/>
      <c r="L27" s="65"/>
      <c r="M27" s="65"/>
      <c r="N27" s="65"/>
      <c r="O27" s="65"/>
      <c r="P27" s="65"/>
      <c r="Q27" s="65"/>
    </row>
    <row r="28" spans="1:18">
      <c r="A28" s="65"/>
      <c r="B28" s="71" t="s">
        <v>42</v>
      </c>
      <c r="C28" s="78">
        <f>1/(2*PI()*(C10*0.000000001)*((C15*1000)+(C9*1000)))</f>
        <v>94.927312982536861</v>
      </c>
      <c r="D28" s="70" t="s">
        <v>2</v>
      </c>
      <c r="E28" s="65"/>
      <c r="F28" s="65"/>
      <c r="G28" s="65"/>
      <c r="H28" s="65"/>
      <c r="I28" s="65"/>
      <c r="J28" s="65"/>
      <c r="K28" s="65"/>
      <c r="L28" s="65"/>
      <c r="M28" s="65"/>
      <c r="N28" s="65"/>
      <c r="O28" s="65"/>
      <c r="P28" s="65"/>
      <c r="Q28" s="65"/>
      <c r="R28" s="93" t="str">
        <f>C29</f>
        <v>-</v>
      </c>
    </row>
    <row r="29" spans="1:18">
      <c r="A29" s="65"/>
      <c r="B29" s="71" t="s">
        <v>43</v>
      </c>
      <c r="C29" s="92" t="str">
        <f>IF(AND(ISNUMBER(C11),C11&gt;0),(C9+C15)/(2*PI()*C11*0.000000000001*C9*1000*C15*1000),"-")</f>
        <v>-</v>
      </c>
      <c r="D29" s="70" t="s">
        <v>25</v>
      </c>
      <c r="E29" s="65"/>
      <c r="F29" s="65"/>
      <c r="G29" s="65"/>
      <c r="H29" s="65"/>
      <c r="I29" s="65"/>
      <c r="J29" s="65"/>
      <c r="K29" s="65"/>
      <c r="L29" s="65"/>
      <c r="M29" s="65"/>
      <c r="N29" s="65"/>
      <c r="O29" s="65"/>
      <c r="P29" s="65"/>
      <c r="Q29" s="65"/>
    </row>
    <row r="30" spans="1:18">
      <c r="A30" s="65"/>
      <c r="B30" s="71" t="s">
        <v>44</v>
      </c>
      <c r="C30" s="77">
        <f>0.001/(2*PI()*(C10*0.000000001)*(C9*1000))</f>
        <v>5.9837184409314732</v>
      </c>
      <c r="D30" s="70" t="s">
        <v>25</v>
      </c>
      <c r="E30" s="65"/>
      <c r="F30" s="65"/>
      <c r="G30" s="65"/>
      <c r="H30" s="65"/>
      <c r="I30" s="65"/>
      <c r="J30" s="65"/>
      <c r="K30" s="65"/>
      <c r="L30" s="65"/>
      <c r="M30" s="65"/>
      <c r="N30" s="65"/>
      <c r="O30" s="65"/>
      <c r="P30" s="65"/>
      <c r="Q30" s="65"/>
    </row>
    <row r="31" spans="1:18">
      <c r="A31" s="65"/>
      <c r="B31" s="71" t="s">
        <v>57</v>
      </c>
      <c r="C31" s="77">
        <f>'GP Calcs'!J3/1000</f>
        <v>100</v>
      </c>
      <c r="D31" s="70" t="s">
        <v>25</v>
      </c>
      <c r="E31" s="65"/>
      <c r="F31" s="65"/>
      <c r="G31" s="65"/>
      <c r="H31" s="65"/>
      <c r="I31" s="65"/>
      <c r="J31" s="65"/>
      <c r="K31" s="65"/>
      <c r="L31" s="65"/>
      <c r="M31" s="65"/>
      <c r="N31" s="65"/>
      <c r="O31" s="65"/>
      <c r="P31" s="65"/>
      <c r="Q31" s="65"/>
    </row>
    <row r="32" spans="1:18">
      <c r="A32" s="65"/>
      <c r="E32" s="65"/>
      <c r="F32" s="80"/>
      <c r="G32" s="65"/>
      <c r="H32" s="65"/>
      <c r="I32" s="65"/>
      <c r="J32" s="65"/>
      <c r="K32" s="65"/>
      <c r="L32" s="65"/>
      <c r="M32" s="65"/>
      <c r="N32" s="65"/>
      <c r="O32" s="65"/>
      <c r="P32" s="65"/>
      <c r="Q32" s="65"/>
    </row>
    <row r="33" spans="1:17">
      <c r="A33" s="65"/>
      <c r="B33" s="68" t="s">
        <v>58</v>
      </c>
      <c r="C33" s="80"/>
      <c r="D33" s="66"/>
      <c r="E33" s="65"/>
      <c r="F33" s="65"/>
      <c r="G33" s="65"/>
      <c r="H33" s="65"/>
      <c r="I33" s="65"/>
      <c r="J33" s="65"/>
      <c r="K33" s="65"/>
      <c r="L33" s="65"/>
      <c r="M33" s="65"/>
      <c r="N33" s="65"/>
      <c r="O33" s="65"/>
      <c r="P33" s="65"/>
      <c r="Q33" s="65"/>
    </row>
    <row r="34" spans="1:17">
      <c r="A34" s="65"/>
      <c r="B34" s="71">
        <v>7664</v>
      </c>
      <c r="C34" s="78">
        <v>3.5</v>
      </c>
      <c r="D34" s="66"/>
      <c r="E34" s="65"/>
      <c r="F34" s="65"/>
      <c r="G34" s="65"/>
      <c r="H34" s="65"/>
      <c r="I34" s="65"/>
      <c r="J34" s="65"/>
      <c r="K34" s="65"/>
      <c r="L34" s="65"/>
      <c r="M34" s="65"/>
      <c r="N34" s="65"/>
      <c r="O34" s="65"/>
      <c r="P34" s="65"/>
      <c r="Q34" s="65"/>
    </row>
    <row r="35" spans="1:17">
      <c r="A35" s="65"/>
      <c r="B35" s="71">
        <v>7665</v>
      </c>
      <c r="C35" s="75">
        <v>5.2</v>
      </c>
      <c r="D35" s="73"/>
      <c r="E35" s="65"/>
      <c r="F35" s="65"/>
      <c r="G35" s="65"/>
      <c r="H35" s="65"/>
      <c r="I35" s="65"/>
      <c r="J35" s="65"/>
      <c r="K35" s="65"/>
      <c r="L35" s="65"/>
      <c r="M35" s="65"/>
      <c r="N35" s="65"/>
      <c r="O35" s="65"/>
      <c r="P35" s="65"/>
      <c r="Q35" s="65"/>
    </row>
    <row r="36" spans="1:17">
      <c r="A36" s="65"/>
      <c r="B36" s="71">
        <v>7674</v>
      </c>
      <c r="C36" s="75">
        <v>3.5</v>
      </c>
      <c r="D36" s="66"/>
      <c r="E36" s="65"/>
      <c r="F36" s="65"/>
      <c r="G36" s="65"/>
      <c r="H36" s="65"/>
      <c r="I36" s="65"/>
      <c r="J36" s="65"/>
      <c r="K36" s="65"/>
      <c r="L36" s="65"/>
      <c r="M36" s="65"/>
      <c r="N36" s="65"/>
      <c r="O36" s="65"/>
      <c r="P36" s="65"/>
      <c r="Q36" s="65"/>
    </row>
    <row r="37" spans="1:17">
      <c r="A37" s="65"/>
      <c r="B37" s="71">
        <v>7675</v>
      </c>
      <c r="C37" s="78">
        <v>5.2</v>
      </c>
      <c r="D37" s="66"/>
      <c r="E37" s="65"/>
      <c r="F37" s="65"/>
      <c r="G37" s="65"/>
      <c r="H37" s="65"/>
      <c r="I37" s="65"/>
      <c r="J37" s="65"/>
      <c r="K37" s="65"/>
      <c r="L37" s="65"/>
      <c r="M37" s="65"/>
      <c r="N37" s="65"/>
      <c r="O37" s="65"/>
      <c r="P37" s="65"/>
      <c r="Q37" s="65"/>
    </row>
    <row r="38" spans="1:17">
      <c r="A38" s="65"/>
      <c r="D38" s="66"/>
      <c r="E38" s="65"/>
      <c r="F38" s="65"/>
      <c r="G38" s="65"/>
      <c r="H38" s="65"/>
      <c r="I38" s="65"/>
      <c r="J38" s="65"/>
      <c r="K38" s="65"/>
      <c r="L38" s="65"/>
      <c r="M38" s="65"/>
      <c r="N38" s="65"/>
      <c r="O38" s="65"/>
      <c r="P38" s="65"/>
      <c r="Q38" s="65"/>
    </row>
    <row r="39" spans="1:17">
      <c r="A39" s="65"/>
      <c r="B39" s="65"/>
      <c r="C39" s="65"/>
      <c r="D39" s="66"/>
      <c r="E39" s="65"/>
      <c r="F39" s="65"/>
      <c r="G39" s="65"/>
      <c r="H39" s="65"/>
      <c r="I39" s="65"/>
      <c r="J39" s="65"/>
      <c r="K39" s="65"/>
      <c r="L39" s="65"/>
      <c r="M39" s="65"/>
      <c r="N39" s="65"/>
      <c r="O39" s="65"/>
      <c r="P39" s="65"/>
      <c r="Q39" s="65"/>
    </row>
    <row r="40" spans="1:17">
      <c r="A40" s="65"/>
      <c r="B40" s="65"/>
      <c r="C40" s="65"/>
      <c r="D40" s="66"/>
      <c r="E40" s="65"/>
      <c r="F40" s="65"/>
      <c r="G40" s="65"/>
      <c r="H40" s="65"/>
      <c r="I40" s="65"/>
      <c r="J40" s="65"/>
      <c r="K40" s="65"/>
      <c r="L40" s="65"/>
      <c r="M40" s="65"/>
      <c r="N40" s="65"/>
      <c r="O40" s="65"/>
      <c r="P40" s="65"/>
      <c r="Q40" s="65"/>
    </row>
    <row r="41" spans="1:17">
      <c r="A41" s="65"/>
      <c r="B41" s="65"/>
      <c r="C41" s="65"/>
      <c r="D41" s="66"/>
      <c r="E41" s="65"/>
      <c r="F41" s="65"/>
      <c r="G41" s="65"/>
      <c r="H41" s="65"/>
      <c r="I41" s="65"/>
      <c r="J41" s="65"/>
      <c r="K41" s="65"/>
      <c r="L41" s="65"/>
      <c r="M41" s="65"/>
      <c r="N41" s="65"/>
      <c r="O41" s="65"/>
      <c r="P41" s="65"/>
      <c r="Q41" s="65"/>
    </row>
    <row r="42" spans="1:17">
      <c r="A42" s="65"/>
      <c r="B42" s="65"/>
      <c r="C42" s="65"/>
      <c r="D42" s="66"/>
      <c r="E42" s="65"/>
      <c r="F42" s="65"/>
      <c r="G42" s="65"/>
      <c r="H42" s="65"/>
      <c r="I42" s="65"/>
      <c r="J42" s="65"/>
      <c r="K42" s="65"/>
      <c r="L42" s="65"/>
      <c r="M42" s="65"/>
      <c r="N42" s="65"/>
      <c r="O42" s="65"/>
      <c r="P42" s="65"/>
      <c r="Q42" s="65"/>
    </row>
    <row r="43" spans="1:17">
      <c r="A43" s="65"/>
      <c r="B43" s="65"/>
      <c r="C43" s="65"/>
      <c r="D43" s="66"/>
      <c r="E43" s="65"/>
      <c r="F43" s="65"/>
      <c r="G43" s="65"/>
      <c r="H43" s="65"/>
      <c r="I43" s="65"/>
      <c r="J43" s="65"/>
      <c r="K43" s="65"/>
      <c r="L43" s="65"/>
      <c r="M43" s="65"/>
      <c r="N43" s="65"/>
      <c r="O43" s="65"/>
      <c r="P43" s="65"/>
      <c r="Q43" s="65"/>
    </row>
    <row r="44" spans="1:17">
      <c r="B44" s="63"/>
    </row>
    <row r="45" spans="1:17">
      <c r="B45" s="63"/>
    </row>
    <row r="46" spans="1:17">
      <c r="B46" s="63"/>
    </row>
    <row r="47" spans="1:17">
      <c r="B47" s="63"/>
    </row>
    <row r="48" spans="1:17">
      <c r="B48" s="63"/>
    </row>
    <row r="49" spans="2:13">
      <c r="B49" s="63"/>
    </row>
    <row r="50" spans="2:13">
      <c r="B50" s="63"/>
      <c r="M50" s="64"/>
    </row>
    <row r="51" spans="2:13">
      <c r="B51" s="63"/>
    </row>
  </sheetData>
  <sheetProtection password="CB4D" sheet="1" objects="1" scenarios="1"/>
  <pageMargins left="0.51" right="0.54" top="0.51" bottom="0.53" header="0.3" footer="0.3"/>
  <pageSetup scale="81" fitToHeight="1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zoomScaleNormal="100" workbookViewId="0">
      <selection activeCell="A6" sqref="A6"/>
    </sheetView>
  </sheetViews>
  <sheetFormatPr defaultRowHeight="15"/>
  <cols>
    <col min="1" max="1" width="6.28515625" style="3" customWidth="1"/>
    <col min="2" max="2" width="11.140625" customWidth="1"/>
    <col min="10" max="10" width="9.140625" style="3"/>
    <col min="11" max="11" width="12.140625" customWidth="1"/>
    <col min="18" max="18" width="9.28515625" customWidth="1"/>
  </cols>
  <sheetData>
    <row r="1" spans="1:18" ht="15.75" thickBot="1">
      <c r="C1" t="s">
        <v>71</v>
      </c>
    </row>
    <row r="2" spans="1:18" ht="15.75" thickBot="1">
      <c r="B2" s="11" t="s">
        <v>4</v>
      </c>
      <c r="C2" s="40" t="s">
        <v>49</v>
      </c>
      <c r="D2" s="41" t="s">
        <v>26</v>
      </c>
      <c r="E2" s="41" t="s">
        <v>50</v>
      </c>
      <c r="F2" s="41" t="s">
        <v>51</v>
      </c>
      <c r="G2" s="41" t="s">
        <v>52</v>
      </c>
      <c r="H2" s="42" t="s">
        <v>53</v>
      </c>
      <c r="I2" s="43" t="s">
        <v>6</v>
      </c>
      <c r="J2" s="2" t="s">
        <v>9</v>
      </c>
      <c r="K2" s="11" t="str">
        <f>B2</f>
        <v xml:space="preserve">Name = </v>
      </c>
      <c r="L2" s="40" t="str">
        <f>C2</f>
        <v>GtotDC</v>
      </c>
      <c r="M2" s="41" t="str">
        <f t="shared" ref="M2:R2" si="0">D2</f>
        <v>Fpo</v>
      </c>
      <c r="N2" s="41" t="str">
        <f t="shared" si="0"/>
        <v>Fzo</v>
      </c>
      <c r="O2" s="41" t="str">
        <f t="shared" si="0"/>
        <v>FPea1</v>
      </c>
      <c r="P2" s="41" t="str">
        <f t="shared" si="0"/>
        <v>FPea2</v>
      </c>
      <c r="Q2" s="42" t="str">
        <f t="shared" si="0"/>
        <v>Fzea</v>
      </c>
      <c r="R2" s="43" t="str">
        <f t="shared" si="0"/>
        <v>Units</v>
      </c>
    </row>
    <row r="3" spans="1:18">
      <c r="B3" s="12" t="s">
        <v>59</v>
      </c>
      <c r="C3" s="36">
        <f>'Existing Design'!C25</f>
        <v>62.162276172922262</v>
      </c>
      <c r="D3" s="37">
        <v>0</v>
      </c>
      <c r="E3" s="37">
        <v>0</v>
      </c>
      <c r="F3" s="37">
        <v>0</v>
      </c>
      <c r="G3" s="37">
        <v>0</v>
      </c>
      <c r="H3" s="38">
        <v>0</v>
      </c>
      <c r="I3" s="39" t="s">
        <v>7</v>
      </c>
      <c r="J3" s="44">
        <f>MAX(J8:J69)</f>
        <v>100000</v>
      </c>
      <c r="K3" s="31" t="s">
        <v>60</v>
      </c>
      <c r="L3" s="36">
        <v>0</v>
      </c>
      <c r="M3" s="37">
        <v>0</v>
      </c>
      <c r="N3" s="37">
        <v>0</v>
      </c>
      <c r="O3" s="37">
        <v>0</v>
      </c>
      <c r="P3" s="37">
        <v>0</v>
      </c>
      <c r="Q3" s="38">
        <v>0</v>
      </c>
      <c r="R3" s="39" t="s">
        <v>8</v>
      </c>
    </row>
    <row r="4" spans="1:18">
      <c r="B4" s="12" t="s">
        <v>1</v>
      </c>
      <c r="C4" s="26" t="s">
        <v>10</v>
      </c>
      <c r="D4" s="33">
        <f>'Existing Design'!C26</f>
        <v>4746.1712651658654</v>
      </c>
      <c r="E4" s="18" t="s">
        <v>10</v>
      </c>
      <c r="F4" s="33">
        <f>'Existing Design'!C28</f>
        <v>94.927312982536861</v>
      </c>
      <c r="G4" s="45" t="e">
        <f>'Existing Design'!C29*1000</f>
        <v>#VALUE!</v>
      </c>
      <c r="H4" s="28" t="s">
        <v>10</v>
      </c>
      <c r="I4" s="24" t="s">
        <v>2</v>
      </c>
      <c r="K4" s="31" t="str">
        <f>B4</f>
        <v xml:space="preserve">Fp = </v>
      </c>
      <c r="L4" s="26" t="str">
        <f>C4</f>
        <v>-</v>
      </c>
      <c r="M4" s="33">
        <f t="shared" ref="M4:Q5" si="1">D4</f>
        <v>4746.1712651658654</v>
      </c>
      <c r="N4" s="14" t="str">
        <f t="shared" si="1"/>
        <v>-</v>
      </c>
      <c r="O4" s="33">
        <f t="shared" si="1"/>
        <v>94.927312982536861</v>
      </c>
      <c r="P4" s="23" t="e">
        <f t="shared" si="1"/>
        <v>#VALUE!</v>
      </c>
      <c r="Q4" s="27" t="str">
        <f t="shared" si="1"/>
        <v>-</v>
      </c>
      <c r="R4" s="24" t="str">
        <f>I4</f>
        <v>Hz</v>
      </c>
    </row>
    <row r="5" spans="1:18" ht="15.75" thickBot="1">
      <c r="B5" s="13" t="s">
        <v>0</v>
      </c>
      <c r="C5" s="29" t="s">
        <v>10</v>
      </c>
      <c r="D5" s="30" t="s">
        <v>10</v>
      </c>
      <c r="E5" s="34">
        <f>'Existing Design'!C27*1000</f>
        <v>795774.71545947681</v>
      </c>
      <c r="F5" s="30" t="s">
        <v>10</v>
      </c>
      <c r="G5" s="30" t="s">
        <v>10</v>
      </c>
      <c r="H5" s="35">
        <f>'Existing Design'!C30*1000</f>
        <v>5983.7184409314732</v>
      </c>
      <c r="I5" s="25" t="s">
        <v>2</v>
      </c>
      <c r="K5" s="32" t="str">
        <f>B5</f>
        <v xml:space="preserve">Fz = </v>
      </c>
      <c r="L5" s="29" t="str">
        <f>C5</f>
        <v>-</v>
      </c>
      <c r="M5" s="19" t="str">
        <f t="shared" si="1"/>
        <v>-</v>
      </c>
      <c r="N5" s="34">
        <f t="shared" si="1"/>
        <v>795774.71545947681</v>
      </c>
      <c r="O5" s="19" t="str">
        <f t="shared" si="1"/>
        <v>-</v>
      </c>
      <c r="P5" s="19" t="str">
        <f t="shared" si="1"/>
        <v>-</v>
      </c>
      <c r="Q5" s="35">
        <f t="shared" si="1"/>
        <v>5983.7184409314732</v>
      </c>
      <c r="R5" s="25" t="str">
        <f>I5</f>
        <v>Hz</v>
      </c>
    </row>
    <row r="6" spans="1:18" ht="15.75" thickBot="1"/>
    <row r="7" spans="1:18">
      <c r="A7" s="2"/>
      <c r="B7" s="8" t="s">
        <v>3</v>
      </c>
      <c r="C7" s="7" t="str">
        <f t="shared" ref="C7:H7" si="2">C2</f>
        <v>GtotDC</v>
      </c>
      <c r="D7" s="4" t="str">
        <f t="shared" si="2"/>
        <v>Fpo</v>
      </c>
      <c r="E7" s="4" t="str">
        <f t="shared" si="2"/>
        <v>Fzo</v>
      </c>
      <c r="F7" s="4" t="str">
        <f t="shared" si="2"/>
        <v>FPea1</v>
      </c>
      <c r="G7" s="4" t="str">
        <f t="shared" si="2"/>
        <v>FPea2</v>
      </c>
      <c r="H7" s="4" t="str">
        <f t="shared" si="2"/>
        <v>Fzea</v>
      </c>
      <c r="I7" s="5" t="s">
        <v>5</v>
      </c>
      <c r="K7" s="8" t="s">
        <v>3</v>
      </c>
      <c r="L7" s="7" t="str">
        <f>L2</f>
        <v>GtotDC</v>
      </c>
      <c r="M7" s="7" t="str">
        <f t="shared" ref="M7:Q8" si="3">M2</f>
        <v>Fpo</v>
      </c>
      <c r="N7" s="7" t="str">
        <f t="shared" si="3"/>
        <v>Fzo</v>
      </c>
      <c r="O7" s="7" t="str">
        <f t="shared" si="3"/>
        <v>FPea1</v>
      </c>
      <c r="P7" s="7" t="str">
        <f t="shared" si="3"/>
        <v>FPea2</v>
      </c>
      <c r="Q7" s="7" t="str">
        <f t="shared" si="3"/>
        <v>Fzea</v>
      </c>
      <c r="R7" s="5" t="s">
        <v>5</v>
      </c>
    </row>
    <row r="8" spans="1:18">
      <c r="B8" s="9">
        <v>1</v>
      </c>
      <c r="C8" s="15">
        <f t="shared" ref="C8:H8" si="4">C3</f>
        <v>62.162276172922262</v>
      </c>
      <c r="D8" s="15">
        <f t="shared" si="4"/>
        <v>0</v>
      </c>
      <c r="E8" s="15">
        <f t="shared" si="4"/>
        <v>0</v>
      </c>
      <c r="F8" s="15">
        <f t="shared" si="4"/>
        <v>0</v>
      </c>
      <c r="G8" s="15">
        <f t="shared" si="4"/>
        <v>0</v>
      </c>
      <c r="H8" s="15">
        <f t="shared" si="4"/>
        <v>0</v>
      </c>
      <c r="I8" s="20">
        <f t="shared" ref="I8:I39" si="5">SUM(C8:H8)</f>
        <v>62.162276172922262</v>
      </c>
      <c r="J8" s="3" t="str">
        <f t="shared" ref="J8:J39" si="6">IF(AND($I8&lt;0,$I7&gt;0),$B8,"0")</f>
        <v>0</v>
      </c>
      <c r="K8" s="9">
        <v>1</v>
      </c>
      <c r="L8" s="15">
        <f>L3</f>
        <v>0</v>
      </c>
      <c r="M8" s="15">
        <f t="shared" si="3"/>
        <v>0</v>
      </c>
      <c r="N8" s="15">
        <f t="shared" si="3"/>
        <v>0</v>
      </c>
      <c r="O8" s="15">
        <f t="shared" si="3"/>
        <v>0</v>
      </c>
      <c r="P8" s="15">
        <f t="shared" si="3"/>
        <v>0</v>
      </c>
      <c r="Q8" s="15">
        <f t="shared" si="3"/>
        <v>0</v>
      </c>
      <c r="R8" s="16">
        <f t="shared" ref="R8:R39" si="7">SUM(L8:Q8)</f>
        <v>0</v>
      </c>
    </row>
    <row r="9" spans="1:18">
      <c r="B9" s="9">
        <v>1.2589254117941673</v>
      </c>
      <c r="C9" s="15">
        <f t="shared" ref="C9:H24" si="8">IF(OR(ISNUMBER(C$4),ISNUMBER(C$5)),IF(ISNUMBER(C$4),IF($B9&gt;C$4,C8-2,C8),IF($B9&gt;C$5,C8+2,C8)),C8)</f>
        <v>62.162276172922262</v>
      </c>
      <c r="D9" s="15">
        <f t="shared" si="8"/>
        <v>0</v>
      </c>
      <c r="E9" s="15">
        <f t="shared" si="8"/>
        <v>0</v>
      </c>
      <c r="F9" s="15">
        <f t="shared" si="8"/>
        <v>0</v>
      </c>
      <c r="G9" s="15">
        <f t="shared" si="8"/>
        <v>0</v>
      </c>
      <c r="H9" s="15">
        <f t="shared" si="8"/>
        <v>0</v>
      </c>
      <c r="I9" s="20">
        <f t="shared" si="5"/>
        <v>62.162276172922262</v>
      </c>
      <c r="J9" s="3" t="str">
        <f t="shared" si="6"/>
        <v>0</v>
      </c>
      <c r="K9" s="9">
        <v>1.2589254117941673</v>
      </c>
      <c r="L9" s="15">
        <f t="shared" ref="L9:P24" si="9">IF(OR(ISNUMBER(L$4),ISNUMBER(L$5)),IF(ISNUMBER(L$4),IF(AND($B9&gt;L$4/10,$B9&lt;L$4*10),L8-4.5,L8),IF(AND($B9&gt;L$5/10,$B9&lt;L$5*10),L8+4.5,L8)),L8)</f>
        <v>0</v>
      </c>
      <c r="M9" s="15">
        <f t="shared" si="9"/>
        <v>0</v>
      </c>
      <c r="N9" s="15">
        <f>IF(OR(ISNUMBER(N$4),ISNUMBER(N$5)),IF(ISNUMBER(N$4),IF(AND($B9&gt;N$4/10,$B9&lt;N$4*10),N8-4.5,N8),IF(AND($B9&gt;N$5/10,$B9&lt;N$5*10),N8+4.5,N8)),N8)</f>
        <v>0</v>
      </c>
      <c r="O9" s="15">
        <f>IF(OR(ISNUMBER(O$4),ISNUMBER(O$5)),IF(ISNUMBER(O$4),IF(AND($B9&gt;O$4/10,$B9&lt;O$4*10),O8-4.5,O8),IF(AND($B9&gt;O$5/10,$B9&lt;O$5*10),O8+4.5,O8)),O8)</f>
        <v>0</v>
      </c>
      <c r="P9" s="15">
        <f>IF(OR(ISNUMBER(P$4),ISNUMBER(P$5)),IF(ISNUMBER(P$4),IF(AND($B9&gt;P$4/10,$B9&lt;P$4*10),P8-4.5,P8),IF(AND($B9&gt;P$5/10,$B9&lt;P$5*10),P8+4.5,P8)),P8)</f>
        <v>0</v>
      </c>
      <c r="Q9" s="15">
        <f t="shared" ref="Q9:Q24" si="10">IF(OR(ISNUMBER(Q$4),ISNUMBER(Q$5)),IF(ISNUMBER(Q$4),IF(AND($B9&gt;Q$4/10,$B9&lt;Q$4*10),Q8-4.5,Q8),IF(AND($B9&gt;Q$5/10,$B9&lt;Q$5*10),Q8+4.5,Q8)),Q8)</f>
        <v>0</v>
      </c>
      <c r="R9" s="16">
        <f t="shared" si="7"/>
        <v>0</v>
      </c>
    </row>
    <row r="10" spans="1:18">
      <c r="B10" s="9">
        <v>1.5848931924611136</v>
      </c>
      <c r="C10" s="15">
        <f t="shared" si="8"/>
        <v>62.162276172922262</v>
      </c>
      <c r="D10" s="15">
        <f t="shared" si="8"/>
        <v>0</v>
      </c>
      <c r="E10" s="15">
        <f t="shared" si="8"/>
        <v>0</v>
      </c>
      <c r="F10" s="15">
        <f t="shared" si="8"/>
        <v>0</v>
      </c>
      <c r="G10" s="15">
        <f t="shared" si="8"/>
        <v>0</v>
      </c>
      <c r="H10" s="15">
        <f t="shared" si="8"/>
        <v>0</v>
      </c>
      <c r="I10" s="20">
        <f t="shared" si="5"/>
        <v>62.162276172922262</v>
      </c>
      <c r="J10" s="3" t="str">
        <f t="shared" si="6"/>
        <v>0</v>
      </c>
      <c r="K10" s="9">
        <v>1.5848931924611136</v>
      </c>
      <c r="L10" s="15">
        <f t="shared" si="9"/>
        <v>0</v>
      </c>
      <c r="M10" s="15">
        <f t="shared" si="9"/>
        <v>0</v>
      </c>
      <c r="N10" s="15">
        <f t="shared" si="9"/>
        <v>0</v>
      </c>
      <c r="O10" s="15">
        <f t="shared" si="9"/>
        <v>0</v>
      </c>
      <c r="P10" s="15">
        <f t="shared" si="9"/>
        <v>0</v>
      </c>
      <c r="Q10" s="15">
        <f t="shared" si="10"/>
        <v>0</v>
      </c>
      <c r="R10" s="16">
        <f t="shared" si="7"/>
        <v>0</v>
      </c>
    </row>
    <row r="11" spans="1:18">
      <c r="B11" s="9">
        <v>1.99526231496888</v>
      </c>
      <c r="C11" s="15">
        <f t="shared" si="8"/>
        <v>62.162276172922262</v>
      </c>
      <c r="D11" s="15">
        <f t="shared" si="8"/>
        <v>0</v>
      </c>
      <c r="E11" s="15">
        <f t="shared" si="8"/>
        <v>0</v>
      </c>
      <c r="F11" s="15">
        <f t="shared" si="8"/>
        <v>0</v>
      </c>
      <c r="G11" s="15">
        <f t="shared" si="8"/>
        <v>0</v>
      </c>
      <c r="H11" s="15">
        <f t="shared" si="8"/>
        <v>0</v>
      </c>
      <c r="I11" s="20">
        <f t="shared" si="5"/>
        <v>62.162276172922262</v>
      </c>
      <c r="J11" s="3" t="str">
        <f t="shared" si="6"/>
        <v>0</v>
      </c>
      <c r="K11" s="9">
        <v>1.99526231496888</v>
      </c>
      <c r="L11" s="15">
        <f t="shared" si="9"/>
        <v>0</v>
      </c>
      <c r="M11" s="15">
        <f t="shared" si="9"/>
        <v>0</v>
      </c>
      <c r="N11" s="15">
        <f t="shared" si="9"/>
        <v>0</v>
      </c>
      <c r="O11" s="15">
        <f t="shared" si="9"/>
        <v>0</v>
      </c>
      <c r="P11" s="15">
        <f t="shared" si="9"/>
        <v>0</v>
      </c>
      <c r="Q11" s="15">
        <f t="shared" si="10"/>
        <v>0</v>
      </c>
      <c r="R11" s="16">
        <f t="shared" si="7"/>
        <v>0</v>
      </c>
    </row>
    <row r="12" spans="1:18">
      <c r="B12" s="9">
        <v>2.5118864315095806</v>
      </c>
      <c r="C12" s="15">
        <f t="shared" si="8"/>
        <v>62.162276172922262</v>
      </c>
      <c r="D12" s="15">
        <f t="shared" si="8"/>
        <v>0</v>
      </c>
      <c r="E12" s="15">
        <f t="shared" si="8"/>
        <v>0</v>
      </c>
      <c r="F12" s="15">
        <f t="shared" si="8"/>
        <v>0</v>
      </c>
      <c r="G12" s="15">
        <f t="shared" si="8"/>
        <v>0</v>
      </c>
      <c r="H12" s="15">
        <f t="shared" si="8"/>
        <v>0</v>
      </c>
      <c r="I12" s="20">
        <f t="shared" si="5"/>
        <v>62.162276172922262</v>
      </c>
      <c r="J12" s="3" t="str">
        <f t="shared" si="6"/>
        <v>0</v>
      </c>
      <c r="K12" s="9">
        <v>2.5118864315095806</v>
      </c>
      <c r="L12" s="15">
        <f t="shared" si="9"/>
        <v>0</v>
      </c>
      <c r="M12" s="15">
        <f t="shared" si="9"/>
        <v>0</v>
      </c>
      <c r="N12" s="15">
        <f t="shared" si="9"/>
        <v>0</v>
      </c>
      <c r="O12" s="15">
        <f t="shared" si="9"/>
        <v>0</v>
      </c>
      <c r="P12" s="15">
        <f t="shared" si="9"/>
        <v>0</v>
      </c>
      <c r="Q12" s="15">
        <f t="shared" si="10"/>
        <v>0</v>
      </c>
      <c r="R12" s="16">
        <f t="shared" si="7"/>
        <v>0</v>
      </c>
    </row>
    <row r="13" spans="1:18">
      <c r="B13" s="9">
        <v>3.1622776601683795</v>
      </c>
      <c r="C13" s="15">
        <f t="shared" si="8"/>
        <v>62.162276172922262</v>
      </c>
      <c r="D13" s="15">
        <f t="shared" si="8"/>
        <v>0</v>
      </c>
      <c r="E13" s="15">
        <f t="shared" si="8"/>
        <v>0</v>
      </c>
      <c r="F13" s="15">
        <f t="shared" si="8"/>
        <v>0</v>
      </c>
      <c r="G13" s="15">
        <f t="shared" si="8"/>
        <v>0</v>
      </c>
      <c r="H13" s="15">
        <f t="shared" si="8"/>
        <v>0</v>
      </c>
      <c r="I13" s="20">
        <f t="shared" si="5"/>
        <v>62.162276172922262</v>
      </c>
      <c r="J13" s="3" t="str">
        <f t="shared" si="6"/>
        <v>0</v>
      </c>
      <c r="K13" s="9">
        <v>3.1622776601683795</v>
      </c>
      <c r="L13" s="15">
        <f t="shared" si="9"/>
        <v>0</v>
      </c>
      <c r="M13" s="15">
        <f t="shared" si="9"/>
        <v>0</v>
      </c>
      <c r="N13" s="15">
        <f t="shared" si="9"/>
        <v>0</v>
      </c>
      <c r="O13" s="15">
        <f t="shared" si="9"/>
        <v>0</v>
      </c>
      <c r="P13" s="15">
        <f t="shared" si="9"/>
        <v>0</v>
      </c>
      <c r="Q13" s="15">
        <f t="shared" si="10"/>
        <v>0</v>
      </c>
      <c r="R13" s="16">
        <f t="shared" si="7"/>
        <v>0</v>
      </c>
    </row>
    <row r="14" spans="1:18">
      <c r="B14" s="9">
        <v>3.9810717055349736</v>
      </c>
      <c r="C14" s="15">
        <f t="shared" si="8"/>
        <v>62.162276172922262</v>
      </c>
      <c r="D14" s="15">
        <f t="shared" si="8"/>
        <v>0</v>
      </c>
      <c r="E14" s="15">
        <f t="shared" si="8"/>
        <v>0</v>
      </c>
      <c r="F14" s="15">
        <f t="shared" si="8"/>
        <v>0</v>
      </c>
      <c r="G14" s="15">
        <f t="shared" si="8"/>
        <v>0</v>
      </c>
      <c r="H14" s="15">
        <f t="shared" si="8"/>
        <v>0</v>
      </c>
      <c r="I14" s="20">
        <f t="shared" si="5"/>
        <v>62.162276172922262</v>
      </c>
      <c r="J14" s="3" t="str">
        <f t="shared" si="6"/>
        <v>0</v>
      </c>
      <c r="K14" s="9">
        <v>3.9810717055349736</v>
      </c>
      <c r="L14" s="15">
        <f t="shared" si="9"/>
        <v>0</v>
      </c>
      <c r="M14" s="15">
        <f t="shared" si="9"/>
        <v>0</v>
      </c>
      <c r="N14" s="15">
        <f t="shared" si="9"/>
        <v>0</v>
      </c>
      <c r="O14" s="15">
        <f t="shared" si="9"/>
        <v>0</v>
      </c>
      <c r="P14" s="15">
        <f t="shared" si="9"/>
        <v>0</v>
      </c>
      <c r="Q14" s="15">
        <f t="shared" si="10"/>
        <v>0</v>
      </c>
      <c r="R14" s="16">
        <f t="shared" si="7"/>
        <v>0</v>
      </c>
    </row>
    <row r="15" spans="1:18">
      <c r="B15" s="9">
        <v>5.0118723362727238</v>
      </c>
      <c r="C15" s="15">
        <f t="shared" si="8"/>
        <v>62.162276172922262</v>
      </c>
      <c r="D15" s="15">
        <f t="shared" si="8"/>
        <v>0</v>
      </c>
      <c r="E15" s="15">
        <f t="shared" si="8"/>
        <v>0</v>
      </c>
      <c r="F15" s="15">
        <f t="shared" si="8"/>
        <v>0</v>
      </c>
      <c r="G15" s="15">
        <f t="shared" si="8"/>
        <v>0</v>
      </c>
      <c r="H15" s="15">
        <f t="shared" si="8"/>
        <v>0</v>
      </c>
      <c r="I15" s="20">
        <f t="shared" si="5"/>
        <v>62.162276172922262</v>
      </c>
      <c r="J15" s="3" t="str">
        <f t="shared" si="6"/>
        <v>0</v>
      </c>
      <c r="K15" s="9">
        <v>5.0118723362727238</v>
      </c>
      <c r="L15" s="15">
        <f t="shared" si="9"/>
        <v>0</v>
      </c>
      <c r="M15" s="15">
        <f t="shared" si="9"/>
        <v>0</v>
      </c>
      <c r="N15" s="15">
        <f t="shared" si="9"/>
        <v>0</v>
      </c>
      <c r="O15" s="15">
        <f t="shared" si="9"/>
        <v>0</v>
      </c>
      <c r="P15" s="15">
        <f t="shared" si="9"/>
        <v>0</v>
      </c>
      <c r="Q15" s="15">
        <f t="shared" si="10"/>
        <v>0</v>
      </c>
      <c r="R15" s="16">
        <f t="shared" si="7"/>
        <v>0</v>
      </c>
    </row>
    <row r="16" spans="1:18">
      <c r="B16" s="9">
        <v>6.3095734448019343</v>
      </c>
      <c r="C16" s="15">
        <f t="shared" si="8"/>
        <v>62.162276172922262</v>
      </c>
      <c r="D16" s="15">
        <f t="shared" si="8"/>
        <v>0</v>
      </c>
      <c r="E16" s="15">
        <f t="shared" si="8"/>
        <v>0</v>
      </c>
      <c r="F16" s="15">
        <f t="shared" si="8"/>
        <v>0</v>
      </c>
      <c r="G16" s="15">
        <f t="shared" si="8"/>
        <v>0</v>
      </c>
      <c r="H16" s="15">
        <f t="shared" si="8"/>
        <v>0</v>
      </c>
      <c r="I16" s="20">
        <f t="shared" si="5"/>
        <v>62.162276172922262</v>
      </c>
      <c r="J16" s="3" t="str">
        <f t="shared" si="6"/>
        <v>0</v>
      </c>
      <c r="K16" s="9">
        <v>6.3095734448019343</v>
      </c>
      <c r="L16" s="15">
        <f t="shared" si="9"/>
        <v>0</v>
      </c>
      <c r="M16" s="15">
        <f t="shared" si="9"/>
        <v>0</v>
      </c>
      <c r="N16" s="15">
        <f t="shared" si="9"/>
        <v>0</v>
      </c>
      <c r="O16" s="15">
        <f t="shared" si="9"/>
        <v>0</v>
      </c>
      <c r="P16" s="15">
        <f t="shared" si="9"/>
        <v>0</v>
      </c>
      <c r="Q16" s="15">
        <f t="shared" si="10"/>
        <v>0</v>
      </c>
      <c r="R16" s="16">
        <f t="shared" si="7"/>
        <v>0</v>
      </c>
    </row>
    <row r="17" spans="2:18">
      <c r="B17" s="9">
        <v>7.9432823472428176</v>
      </c>
      <c r="C17" s="15">
        <f t="shared" si="8"/>
        <v>62.162276172922262</v>
      </c>
      <c r="D17" s="15">
        <f t="shared" si="8"/>
        <v>0</v>
      </c>
      <c r="E17" s="15">
        <f t="shared" si="8"/>
        <v>0</v>
      </c>
      <c r="F17" s="15">
        <f t="shared" si="8"/>
        <v>0</v>
      </c>
      <c r="G17" s="15">
        <f t="shared" si="8"/>
        <v>0</v>
      </c>
      <c r="H17" s="15">
        <f t="shared" si="8"/>
        <v>0</v>
      </c>
      <c r="I17" s="20">
        <f t="shared" si="5"/>
        <v>62.162276172922262</v>
      </c>
      <c r="J17" s="3" t="str">
        <f t="shared" si="6"/>
        <v>0</v>
      </c>
      <c r="K17" s="9">
        <v>7.9432823472428176</v>
      </c>
      <c r="L17" s="15">
        <f t="shared" si="9"/>
        <v>0</v>
      </c>
      <c r="M17" s="15">
        <f t="shared" si="9"/>
        <v>0</v>
      </c>
      <c r="N17" s="15">
        <f t="shared" si="9"/>
        <v>0</v>
      </c>
      <c r="O17" s="15">
        <f t="shared" si="9"/>
        <v>0</v>
      </c>
      <c r="P17" s="15">
        <f t="shared" si="9"/>
        <v>0</v>
      </c>
      <c r="Q17" s="15">
        <f t="shared" si="10"/>
        <v>0</v>
      </c>
      <c r="R17" s="16">
        <f t="shared" si="7"/>
        <v>0</v>
      </c>
    </row>
    <row r="18" spans="2:18">
      <c r="B18" s="9">
        <v>10</v>
      </c>
      <c r="C18" s="15">
        <f t="shared" si="8"/>
        <v>62.162276172922262</v>
      </c>
      <c r="D18" s="15">
        <f t="shared" si="8"/>
        <v>0</v>
      </c>
      <c r="E18" s="15">
        <f t="shared" si="8"/>
        <v>0</v>
      </c>
      <c r="F18" s="15">
        <f t="shared" si="8"/>
        <v>0</v>
      </c>
      <c r="G18" s="15">
        <f t="shared" si="8"/>
        <v>0</v>
      </c>
      <c r="H18" s="15">
        <f t="shared" si="8"/>
        <v>0</v>
      </c>
      <c r="I18" s="20">
        <f t="shared" si="5"/>
        <v>62.162276172922262</v>
      </c>
      <c r="J18" s="3" t="str">
        <f t="shared" si="6"/>
        <v>0</v>
      </c>
      <c r="K18" s="9">
        <v>10</v>
      </c>
      <c r="L18" s="15">
        <f t="shared" si="9"/>
        <v>0</v>
      </c>
      <c r="M18" s="15">
        <f t="shared" si="9"/>
        <v>0</v>
      </c>
      <c r="N18" s="15">
        <f t="shared" si="9"/>
        <v>0</v>
      </c>
      <c r="O18" s="15">
        <f t="shared" si="9"/>
        <v>-4.5</v>
      </c>
      <c r="P18" s="15">
        <f t="shared" si="9"/>
        <v>0</v>
      </c>
      <c r="Q18" s="15">
        <f t="shared" si="10"/>
        <v>0</v>
      </c>
      <c r="R18" s="16">
        <f t="shared" si="7"/>
        <v>-4.5</v>
      </c>
    </row>
    <row r="19" spans="2:18">
      <c r="B19" s="9">
        <v>12.58925411794168</v>
      </c>
      <c r="C19" s="15">
        <f t="shared" si="8"/>
        <v>62.162276172922262</v>
      </c>
      <c r="D19" s="15">
        <f t="shared" si="8"/>
        <v>0</v>
      </c>
      <c r="E19" s="15">
        <f t="shared" si="8"/>
        <v>0</v>
      </c>
      <c r="F19" s="15">
        <f t="shared" si="8"/>
        <v>0</v>
      </c>
      <c r="G19" s="15">
        <f t="shared" si="8"/>
        <v>0</v>
      </c>
      <c r="H19" s="15">
        <f t="shared" si="8"/>
        <v>0</v>
      </c>
      <c r="I19" s="20">
        <f t="shared" si="5"/>
        <v>62.162276172922262</v>
      </c>
      <c r="J19" s="3" t="str">
        <f t="shared" si="6"/>
        <v>0</v>
      </c>
      <c r="K19" s="9">
        <v>12.58925411794168</v>
      </c>
      <c r="L19" s="15">
        <f t="shared" si="9"/>
        <v>0</v>
      </c>
      <c r="M19" s="15">
        <f t="shared" si="9"/>
        <v>0</v>
      </c>
      <c r="N19" s="15">
        <f t="shared" si="9"/>
        <v>0</v>
      </c>
      <c r="O19" s="15">
        <f t="shared" si="9"/>
        <v>-9</v>
      </c>
      <c r="P19" s="15">
        <f t="shared" si="9"/>
        <v>0</v>
      </c>
      <c r="Q19" s="15">
        <f t="shared" si="10"/>
        <v>0</v>
      </c>
      <c r="R19" s="16">
        <f t="shared" si="7"/>
        <v>-9</v>
      </c>
    </row>
    <row r="20" spans="2:18">
      <c r="B20" s="9">
        <v>15.848931924611144</v>
      </c>
      <c r="C20" s="15">
        <f t="shared" si="8"/>
        <v>62.162276172922262</v>
      </c>
      <c r="D20" s="15">
        <f t="shared" si="8"/>
        <v>0</v>
      </c>
      <c r="E20" s="15">
        <f t="shared" si="8"/>
        <v>0</v>
      </c>
      <c r="F20" s="15">
        <f t="shared" si="8"/>
        <v>0</v>
      </c>
      <c r="G20" s="15">
        <f t="shared" si="8"/>
        <v>0</v>
      </c>
      <c r="H20" s="15">
        <f t="shared" si="8"/>
        <v>0</v>
      </c>
      <c r="I20" s="20">
        <f t="shared" si="5"/>
        <v>62.162276172922262</v>
      </c>
      <c r="J20" s="3" t="str">
        <f t="shared" si="6"/>
        <v>0</v>
      </c>
      <c r="K20" s="9">
        <v>15.848931924611144</v>
      </c>
      <c r="L20" s="15">
        <f t="shared" si="9"/>
        <v>0</v>
      </c>
      <c r="M20" s="15">
        <f t="shared" si="9"/>
        <v>0</v>
      </c>
      <c r="N20" s="15">
        <f t="shared" si="9"/>
        <v>0</v>
      </c>
      <c r="O20" s="15">
        <f t="shared" si="9"/>
        <v>-13.5</v>
      </c>
      <c r="P20" s="15">
        <f t="shared" si="9"/>
        <v>0</v>
      </c>
      <c r="Q20" s="15">
        <f t="shared" si="10"/>
        <v>0</v>
      </c>
      <c r="R20" s="16">
        <f t="shared" si="7"/>
        <v>-13.5</v>
      </c>
    </row>
    <row r="21" spans="2:18">
      <c r="B21" s="9">
        <v>19.952623149688804</v>
      </c>
      <c r="C21" s="15">
        <f t="shared" si="8"/>
        <v>62.162276172922262</v>
      </c>
      <c r="D21" s="15">
        <f t="shared" si="8"/>
        <v>0</v>
      </c>
      <c r="E21" s="15">
        <f t="shared" si="8"/>
        <v>0</v>
      </c>
      <c r="F21" s="15">
        <f t="shared" si="8"/>
        <v>0</v>
      </c>
      <c r="G21" s="15">
        <f t="shared" si="8"/>
        <v>0</v>
      </c>
      <c r="H21" s="15">
        <f t="shared" si="8"/>
        <v>0</v>
      </c>
      <c r="I21" s="20">
        <f t="shared" si="5"/>
        <v>62.162276172922262</v>
      </c>
      <c r="J21" s="3" t="str">
        <f t="shared" si="6"/>
        <v>0</v>
      </c>
      <c r="K21" s="9">
        <v>19.952623149688804</v>
      </c>
      <c r="L21" s="15">
        <f t="shared" si="9"/>
        <v>0</v>
      </c>
      <c r="M21" s="15">
        <f t="shared" si="9"/>
        <v>0</v>
      </c>
      <c r="N21" s="15">
        <f t="shared" si="9"/>
        <v>0</v>
      </c>
      <c r="O21" s="15">
        <f t="shared" si="9"/>
        <v>-18</v>
      </c>
      <c r="P21" s="15">
        <f t="shared" si="9"/>
        <v>0</v>
      </c>
      <c r="Q21" s="15">
        <f t="shared" si="10"/>
        <v>0</v>
      </c>
      <c r="R21" s="16">
        <f t="shared" si="7"/>
        <v>-18</v>
      </c>
    </row>
    <row r="22" spans="2:18">
      <c r="B22" s="9">
        <v>25.118864315095809</v>
      </c>
      <c r="C22" s="15">
        <f t="shared" si="8"/>
        <v>62.162276172922262</v>
      </c>
      <c r="D22" s="15">
        <f t="shared" si="8"/>
        <v>0</v>
      </c>
      <c r="E22" s="15">
        <f t="shared" si="8"/>
        <v>0</v>
      </c>
      <c r="F22" s="15">
        <f t="shared" si="8"/>
        <v>0</v>
      </c>
      <c r="G22" s="15">
        <f t="shared" si="8"/>
        <v>0</v>
      </c>
      <c r="H22" s="15">
        <f t="shared" si="8"/>
        <v>0</v>
      </c>
      <c r="I22" s="20">
        <f t="shared" si="5"/>
        <v>62.162276172922262</v>
      </c>
      <c r="J22" s="3" t="str">
        <f t="shared" si="6"/>
        <v>0</v>
      </c>
      <c r="K22" s="9">
        <v>25.118864315095809</v>
      </c>
      <c r="L22" s="15">
        <f t="shared" si="9"/>
        <v>0</v>
      </c>
      <c r="M22" s="15">
        <f t="shared" si="9"/>
        <v>0</v>
      </c>
      <c r="N22" s="15">
        <f t="shared" si="9"/>
        <v>0</v>
      </c>
      <c r="O22" s="15">
        <f t="shared" si="9"/>
        <v>-22.5</v>
      </c>
      <c r="P22" s="15">
        <f t="shared" si="9"/>
        <v>0</v>
      </c>
      <c r="Q22" s="15">
        <f t="shared" si="10"/>
        <v>0</v>
      </c>
      <c r="R22" s="16">
        <f t="shared" si="7"/>
        <v>-22.5</v>
      </c>
    </row>
    <row r="23" spans="2:18">
      <c r="B23" s="9">
        <v>31.622776601683803</v>
      </c>
      <c r="C23" s="15">
        <f t="shared" si="8"/>
        <v>62.162276172922262</v>
      </c>
      <c r="D23" s="15">
        <f t="shared" si="8"/>
        <v>0</v>
      </c>
      <c r="E23" s="15">
        <f t="shared" si="8"/>
        <v>0</v>
      </c>
      <c r="F23" s="15">
        <f t="shared" si="8"/>
        <v>0</v>
      </c>
      <c r="G23" s="15">
        <f t="shared" si="8"/>
        <v>0</v>
      </c>
      <c r="H23" s="15">
        <f t="shared" si="8"/>
        <v>0</v>
      </c>
      <c r="I23" s="20">
        <f t="shared" si="5"/>
        <v>62.162276172922262</v>
      </c>
      <c r="J23" s="3" t="str">
        <f t="shared" si="6"/>
        <v>0</v>
      </c>
      <c r="K23" s="9">
        <v>31.622776601683803</v>
      </c>
      <c r="L23" s="15">
        <f t="shared" si="9"/>
        <v>0</v>
      </c>
      <c r="M23" s="15">
        <f t="shared" si="9"/>
        <v>0</v>
      </c>
      <c r="N23" s="15">
        <f t="shared" si="9"/>
        <v>0</v>
      </c>
      <c r="O23" s="15">
        <f t="shared" si="9"/>
        <v>-27</v>
      </c>
      <c r="P23" s="15">
        <f t="shared" si="9"/>
        <v>0</v>
      </c>
      <c r="Q23" s="15">
        <f t="shared" si="10"/>
        <v>0</v>
      </c>
      <c r="R23" s="16">
        <f t="shared" si="7"/>
        <v>-27</v>
      </c>
    </row>
    <row r="24" spans="2:18">
      <c r="B24" s="9">
        <v>39.810717055349755</v>
      </c>
      <c r="C24" s="15">
        <f t="shared" si="8"/>
        <v>62.162276172922262</v>
      </c>
      <c r="D24" s="15">
        <f t="shared" si="8"/>
        <v>0</v>
      </c>
      <c r="E24" s="15">
        <f t="shared" si="8"/>
        <v>0</v>
      </c>
      <c r="F24" s="15">
        <f t="shared" si="8"/>
        <v>0</v>
      </c>
      <c r="G24" s="15">
        <f t="shared" si="8"/>
        <v>0</v>
      </c>
      <c r="H24" s="15">
        <f t="shared" si="8"/>
        <v>0</v>
      </c>
      <c r="I24" s="20">
        <f t="shared" si="5"/>
        <v>62.162276172922262</v>
      </c>
      <c r="J24" s="3" t="str">
        <f t="shared" si="6"/>
        <v>0</v>
      </c>
      <c r="K24" s="9">
        <v>39.810717055349755</v>
      </c>
      <c r="L24" s="15">
        <f t="shared" si="9"/>
        <v>0</v>
      </c>
      <c r="M24" s="15">
        <f t="shared" si="9"/>
        <v>0</v>
      </c>
      <c r="N24" s="15">
        <f t="shared" si="9"/>
        <v>0</v>
      </c>
      <c r="O24" s="15">
        <f t="shared" si="9"/>
        <v>-31.5</v>
      </c>
      <c r="P24" s="15">
        <f t="shared" si="9"/>
        <v>0</v>
      </c>
      <c r="Q24" s="15">
        <f t="shared" si="10"/>
        <v>0</v>
      </c>
      <c r="R24" s="16">
        <f t="shared" si="7"/>
        <v>-31.5</v>
      </c>
    </row>
    <row r="25" spans="2:18">
      <c r="B25" s="9">
        <v>50.118723362727259</v>
      </c>
      <c r="C25" s="15">
        <f t="shared" ref="C25:H40" si="11">IF(OR(ISNUMBER(C$4),ISNUMBER(C$5)),IF(ISNUMBER(C$4),IF($B25&gt;C$4,C24-2,C24),IF($B25&gt;C$5,C24+2,C24)),C24)</f>
        <v>62.162276172922262</v>
      </c>
      <c r="D25" s="15">
        <f t="shared" si="11"/>
        <v>0</v>
      </c>
      <c r="E25" s="15">
        <f t="shared" si="11"/>
        <v>0</v>
      </c>
      <c r="F25" s="15">
        <f t="shared" si="11"/>
        <v>0</v>
      </c>
      <c r="G25" s="15">
        <f t="shared" si="11"/>
        <v>0</v>
      </c>
      <c r="H25" s="15">
        <f t="shared" si="11"/>
        <v>0</v>
      </c>
      <c r="I25" s="20">
        <f t="shared" si="5"/>
        <v>62.162276172922262</v>
      </c>
      <c r="J25" s="3" t="str">
        <f t="shared" si="6"/>
        <v>0</v>
      </c>
      <c r="K25" s="9">
        <v>50.118723362727259</v>
      </c>
      <c r="L25" s="15">
        <f t="shared" ref="L25:Q40" si="12">IF(OR(ISNUMBER(L$4),ISNUMBER(L$5)),IF(ISNUMBER(L$4),IF(AND($B25&gt;L$4/10,$B25&lt;L$4*10),L24-4.5,L24),IF(AND($B25&gt;L$5/10,$B25&lt;L$5*10),L24+4.5,L24)),L24)</f>
        <v>0</v>
      </c>
      <c r="M25" s="15">
        <f t="shared" si="12"/>
        <v>0</v>
      </c>
      <c r="N25" s="15">
        <f t="shared" si="12"/>
        <v>0</v>
      </c>
      <c r="O25" s="15">
        <f t="shared" si="12"/>
        <v>-36</v>
      </c>
      <c r="P25" s="15">
        <f t="shared" si="12"/>
        <v>0</v>
      </c>
      <c r="Q25" s="15">
        <f t="shared" si="12"/>
        <v>0</v>
      </c>
      <c r="R25" s="16">
        <f t="shared" si="7"/>
        <v>-36</v>
      </c>
    </row>
    <row r="26" spans="2:18">
      <c r="B26" s="9">
        <v>63.095734448019364</v>
      </c>
      <c r="C26" s="15">
        <f t="shared" si="11"/>
        <v>62.162276172922262</v>
      </c>
      <c r="D26" s="15">
        <f t="shared" si="11"/>
        <v>0</v>
      </c>
      <c r="E26" s="15">
        <f t="shared" si="11"/>
        <v>0</v>
      </c>
      <c r="F26" s="15">
        <f t="shared" si="11"/>
        <v>0</v>
      </c>
      <c r="G26" s="15">
        <f t="shared" si="11"/>
        <v>0</v>
      </c>
      <c r="H26" s="15">
        <f t="shared" si="11"/>
        <v>0</v>
      </c>
      <c r="I26" s="20">
        <f t="shared" si="5"/>
        <v>62.162276172922262</v>
      </c>
      <c r="J26" s="3" t="str">
        <f t="shared" si="6"/>
        <v>0</v>
      </c>
      <c r="K26" s="9">
        <v>63.095734448019364</v>
      </c>
      <c r="L26" s="15">
        <f t="shared" si="12"/>
        <v>0</v>
      </c>
      <c r="M26" s="15">
        <f t="shared" si="12"/>
        <v>0</v>
      </c>
      <c r="N26" s="15">
        <f t="shared" si="12"/>
        <v>0</v>
      </c>
      <c r="O26" s="15">
        <f t="shared" si="12"/>
        <v>-40.5</v>
      </c>
      <c r="P26" s="15">
        <f t="shared" si="12"/>
        <v>0</v>
      </c>
      <c r="Q26" s="15">
        <f t="shared" si="12"/>
        <v>0</v>
      </c>
      <c r="R26" s="16">
        <f t="shared" si="7"/>
        <v>-40.5</v>
      </c>
    </row>
    <row r="27" spans="2:18">
      <c r="B27" s="9">
        <v>79.432823472428197</v>
      </c>
      <c r="C27" s="15">
        <f t="shared" si="11"/>
        <v>62.162276172922262</v>
      </c>
      <c r="D27" s="15">
        <f t="shared" si="11"/>
        <v>0</v>
      </c>
      <c r="E27" s="15">
        <f t="shared" si="11"/>
        <v>0</v>
      </c>
      <c r="F27" s="15">
        <f t="shared" si="11"/>
        <v>0</v>
      </c>
      <c r="G27" s="15">
        <f t="shared" si="11"/>
        <v>0</v>
      </c>
      <c r="H27" s="15">
        <f t="shared" si="11"/>
        <v>0</v>
      </c>
      <c r="I27" s="20">
        <f t="shared" si="5"/>
        <v>62.162276172922262</v>
      </c>
      <c r="J27" s="3" t="str">
        <f t="shared" si="6"/>
        <v>0</v>
      </c>
      <c r="K27" s="9">
        <v>79.432823472428197</v>
      </c>
      <c r="L27" s="15">
        <f t="shared" si="12"/>
        <v>0</v>
      </c>
      <c r="M27" s="15">
        <f t="shared" si="12"/>
        <v>0</v>
      </c>
      <c r="N27" s="15">
        <f t="shared" si="12"/>
        <v>0</v>
      </c>
      <c r="O27" s="15">
        <f t="shared" si="12"/>
        <v>-45</v>
      </c>
      <c r="P27" s="15">
        <f t="shared" si="12"/>
        <v>0</v>
      </c>
      <c r="Q27" s="15">
        <f t="shared" si="12"/>
        <v>0</v>
      </c>
      <c r="R27" s="16">
        <f t="shared" si="7"/>
        <v>-45</v>
      </c>
    </row>
    <row r="28" spans="2:18">
      <c r="B28" s="9">
        <v>100</v>
      </c>
      <c r="C28" s="15">
        <f t="shared" si="11"/>
        <v>62.162276172922262</v>
      </c>
      <c r="D28" s="15">
        <f t="shared" si="11"/>
        <v>0</v>
      </c>
      <c r="E28" s="15">
        <f t="shared" si="11"/>
        <v>0</v>
      </c>
      <c r="F28" s="15">
        <f t="shared" si="11"/>
        <v>-2</v>
      </c>
      <c r="G28" s="15">
        <f t="shared" si="11"/>
        <v>0</v>
      </c>
      <c r="H28" s="15">
        <f t="shared" si="11"/>
        <v>0</v>
      </c>
      <c r="I28" s="20">
        <f t="shared" si="5"/>
        <v>60.162276172922262</v>
      </c>
      <c r="J28" s="3" t="str">
        <f t="shared" si="6"/>
        <v>0</v>
      </c>
      <c r="K28" s="9">
        <v>100</v>
      </c>
      <c r="L28" s="15">
        <f t="shared" si="12"/>
        <v>0</v>
      </c>
      <c r="M28" s="15">
        <f t="shared" si="12"/>
        <v>0</v>
      </c>
      <c r="N28" s="15">
        <f t="shared" si="12"/>
        <v>0</v>
      </c>
      <c r="O28" s="15">
        <f t="shared" si="12"/>
        <v>-49.5</v>
      </c>
      <c r="P28" s="15">
        <f t="shared" si="12"/>
        <v>0</v>
      </c>
      <c r="Q28" s="15">
        <f t="shared" si="12"/>
        <v>0</v>
      </c>
      <c r="R28" s="16">
        <f t="shared" si="7"/>
        <v>-49.5</v>
      </c>
    </row>
    <row r="29" spans="2:18">
      <c r="B29" s="9">
        <v>125.89254117941677</v>
      </c>
      <c r="C29" s="15">
        <f t="shared" si="11"/>
        <v>62.162276172922262</v>
      </c>
      <c r="D29" s="15">
        <f t="shared" si="11"/>
        <v>0</v>
      </c>
      <c r="E29" s="15">
        <f t="shared" si="11"/>
        <v>0</v>
      </c>
      <c r="F29" s="15">
        <f t="shared" si="11"/>
        <v>-4</v>
      </c>
      <c r="G29" s="15">
        <f t="shared" si="11"/>
        <v>0</v>
      </c>
      <c r="H29" s="15">
        <f t="shared" si="11"/>
        <v>0</v>
      </c>
      <c r="I29" s="20">
        <f t="shared" si="5"/>
        <v>58.162276172922262</v>
      </c>
      <c r="J29" s="3" t="str">
        <f t="shared" si="6"/>
        <v>0</v>
      </c>
      <c r="K29" s="9">
        <v>125.89254117941677</v>
      </c>
      <c r="L29" s="15">
        <f t="shared" si="12"/>
        <v>0</v>
      </c>
      <c r="M29" s="15">
        <f t="shared" si="12"/>
        <v>0</v>
      </c>
      <c r="N29" s="15">
        <f t="shared" si="12"/>
        <v>0</v>
      </c>
      <c r="O29" s="15">
        <f t="shared" si="12"/>
        <v>-54</v>
      </c>
      <c r="P29" s="15">
        <f t="shared" si="12"/>
        <v>0</v>
      </c>
      <c r="Q29" s="15">
        <f t="shared" si="12"/>
        <v>0</v>
      </c>
      <c r="R29" s="16">
        <f t="shared" si="7"/>
        <v>-54</v>
      </c>
    </row>
    <row r="30" spans="2:18">
      <c r="B30" s="9">
        <v>158.48931924611153</v>
      </c>
      <c r="C30" s="15">
        <f t="shared" si="11"/>
        <v>62.162276172922262</v>
      </c>
      <c r="D30" s="15">
        <f t="shared" si="11"/>
        <v>0</v>
      </c>
      <c r="E30" s="15">
        <f t="shared" si="11"/>
        <v>0</v>
      </c>
      <c r="F30" s="15">
        <f t="shared" si="11"/>
        <v>-6</v>
      </c>
      <c r="G30" s="15">
        <f t="shared" si="11"/>
        <v>0</v>
      </c>
      <c r="H30" s="15">
        <f t="shared" si="11"/>
        <v>0</v>
      </c>
      <c r="I30" s="20">
        <f t="shared" si="5"/>
        <v>56.162276172922262</v>
      </c>
      <c r="J30" s="3" t="str">
        <f t="shared" si="6"/>
        <v>0</v>
      </c>
      <c r="K30" s="9">
        <v>158.48931924611153</v>
      </c>
      <c r="L30" s="15">
        <f t="shared" si="12"/>
        <v>0</v>
      </c>
      <c r="M30" s="15">
        <f t="shared" si="12"/>
        <v>0</v>
      </c>
      <c r="N30" s="15">
        <f t="shared" si="12"/>
        <v>0</v>
      </c>
      <c r="O30" s="15">
        <f t="shared" si="12"/>
        <v>-58.5</v>
      </c>
      <c r="P30" s="15">
        <f t="shared" si="12"/>
        <v>0</v>
      </c>
      <c r="Q30" s="15">
        <f t="shared" si="12"/>
        <v>0</v>
      </c>
      <c r="R30" s="16">
        <f t="shared" si="7"/>
        <v>-58.5</v>
      </c>
    </row>
    <row r="31" spans="2:18">
      <c r="B31" s="9">
        <v>199.52623149688819</v>
      </c>
      <c r="C31" s="15">
        <f t="shared" si="11"/>
        <v>62.162276172922262</v>
      </c>
      <c r="D31" s="15">
        <f t="shared" si="11"/>
        <v>0</v>
      </c>
      <c r="E31" s="15">
        <f t="shared" si="11"/>
        <v>0</v>
      </c>
      <c r="F31" s="15">
        <f t="shared" si="11"/>
        <v>-8</v>
      </c>
      <c r="G31" s="15">
        <f t="shared" si="11"/>
        <v>0</v>
      </c>
      <c r="H31" s="15">
        <f t="shared" si="11"/>
        <v>0</v>
      </c>
      <c r="I31" s="20">
        <f t="shared" si="5"/>
        <v>54.162276172922262</v>
      </c>
      <c r="J31" s="3" t="str">
        <f t="shared" si="6"/>
        <v>0</v>
      </c>
      <c r="K31" s="9">
        <v>199.52623149688819</v>
      </c>
      <c r="L31" s="15">
        <f t="shared" si="12"/>
        <v>0</v>
      </c>
      <c r="M31" s="15">
        <f t="shared" si="12"/>
        <v>0</v>
      </c>
      <c r="N31" s="15">
        <f t="shared" si="12"/>
        <v>0</v>
      </c>
      <c r="O31" s="15">
        <f t="shared" si="12"/>
        <v>-63</v>
      </c>
      <c r="P31" s="15">
        <f t="shared" si="12"/>
        <v>0</v>
      </c>
      <c r="Q31" s="15">
        <f t="shared" si="12"/>
        <v>0</v>
      </c>
      <c r="R31" s="16">
        <f t="shared" si="7"/>
        <v>-63</v>
      </c>
    </row>
    <row r="32" spans="2:18">
      <c r="B32" s="9">
        <v>251.18864315095828</v>
      </c>
      <c r="C32" s="15">
        <f t="shared" si="11"/>
        <v>62.162276172922262</v>
      </c>
      <c r="D32" s="15">
        <f t="shared" si="11"/>
        <v>0</v>
      </c>
      <c r="E32" s="15">
        <f t="shared" si="11"/>
        <v>0</v>
      </c>
      <c r="F32" s="15">
        <f t="shared" si="11"/>
        <v>-10</v>
      </c>
      <c r="G32" s="15">
        <f t="shared" si="11"/>
        <v>0</v>
      </c>
      <c r="H32" s="15">
        <f t="shared" si="11"/>
        <v>0</v>
      </c>
      <c r="I32" s="20">
        <f t="shared" si="5"/>
        <v>52.162276172922262</v>
      </c>
      <c r="J32" s="3" t="str">
        <f t="shared" si="6"/>
        <v>0</v>
      </c>
      <c r="K32" s="9">
        <v>251.18864315095828</v>
      </c>
      <c r="L32" s="15">
        <f t="shared" si="12"/>
        <v>0</v>
      </c>
      <c r="M32" s="15">
        <f t="shared" si="12"/>
        <v>0</v>
      </c>
      <c r="N32" s="15">
        <f t="shared" si="12"/>
        <v>0</v>
      </c>
      <c r="O32" s="15">
        <f t="shared" si="12"/>
        <v>-67.5</v>
      </c>
      <c r="P32" s="15">
        <f t="shared" si="12"/>
        <v>0</v>
      </c>
      <c r="Q32" s="15">
        <f t="shared" si="12"/>
        <v>0</v>
      </c>
      <c r="R32" s="16">
        <f t="shared" si="7"/>
        <v>-67.5</v>
      </c>
    </row>
    <row r="33" spans="2:18">
      <c r="B33" s="9">
        <v>316.22776601683825</v>
      </c>
      <c r="C33" s="15">
        <f t="shared" si="11"/>
        <v>62.162276172922262</v>
      </c>
      <c r="D33" s="15">
        <f t="shared" si="11"/>
        <v>0</v>
      </c>
      <c r="E33" s="15">
        <f t="shared" si="11"/>
        <v>0</v>
      </c>
      <c r="F33" s="15">
        <f t="shared" si="11"/>
        <v>-12</v>
      </c>
      <c r="G33" s="15">
        <f t="shared" si="11"/>
        <v>0</v>
      </c>
      <c r="H33" s="15">
        <f t="shared" si="11"/>
        <v>0</v>
      </c>
      <c r="I33" s="20">
        <f t="shared" si="5"/>
        <v>50.162276172922262</v>
      </c>
      <c r="J33" s="3" t="str">
        <f t="shared" si="6"/>
        <v>0</v>
      </c>
      <c r="K33" s="9">
        <v>316.22776601683825</v>
      </c>
      <c r="L33" s="15">
        <f t="shared" si="12"/>
        <v>0</v>
      </c>
      <c r="M33" s="15">
        <f t="shared" si="12"/>
        <v>0</v>
      </c>
      <c r="N33" s="15">
        <f t="shared" si="12"/>
        <v>0</v>
      </c>
      <c r="O33" s="15">
        <f t="shared" si="12"/>
        <v>-72</v>
      </c>
      <c r="P33" s="15">
        <f t="shared" si="12"/>
        <v>0</v>
      </c>
      <c r="Q33" s="15">
        <f t="shared" si="12"/>
        <v>0</v>
      </c>
      <c r="R33" s="16">
        <f t="shared" si="7"/>
        <v>-72</v>
      </c>
    </row>
    <row r="34" spans="2:18">
      <c r="B34" s="9">
        <v>398.10717055349761</v>
      </c>
      <c r="C34" s="15">
        <f t="shared" si="11"/>
        <v>62.162276172922262</v>
      </c>
      <c r="D34" s="15">
        <f t="shared" si="11"/>
        <v>0</v>
      </c>
      <c r="E34" s="15">
        <f t="shared" si="11"/>
        <v>0</v>
      </c>
      <c r="F34" s="15">
        <f t="shared" si="11"/>
        <v>-14</v>
      </c>
      <c r="G34" s="15">
        <f t="shared" si="11"/>
        <v>0</v>
      </c>
      <c r="H34" s="15">
        <f t="shared" si="11"/>
        <v>0</v>
      </c>
      <c r="I34" s="20">
        <f t="shared" si="5"/>
        <v>48.162276172922262</v>
      </c>
      <c r="J34" s="3" t="str">
        <f t="shared" si="6"/>
        <v>0</v>
      </c>
      <c r="K34" s="9">
        <v>398.10717055349761</v>
      </c>
      <c r="L34" s="15">
        <f t="shared" si="12"/>
        <v>0</v>
      </c>
      <c r="M34" s="15">
        <f t="shared" si="12"/>
        <v>0</v>
      </c>
      <c r="N34" s="15">
        <f t="shared" si="12"/>
        <v>0</v>
      </c>
      <c r="O34" s="15">
        <f t="shared" si="12"/>
        <v>-76.5</v>
      </c>
      <c r="P34" s="15">
        <f t="shared" si="12"/>
        <v>0</v>
      </c>
      <c r="Q34" s="15">
        <f t="shared" si="12"/>
        <v>0</v>
      </c>
      <c r="R34" s="16">
        <f t="shared" si="7"/>
        <v>-76.5</v>
      </c>
    </row>
    <row r="35" spans="2:18">
      <c r="B35" s="9">
        <v>501.18723362727269</v>
      </c>
      <c r="C35" s="15">
        <f t="shared" si="11"/>
        <v>62.162276172922262</v>
      </c>
      <c r="D35" s="15">
        <f t="shared" si="11"/>
        <v>0</v>
      </c>
      <c r="E35" s="15">
        <f t="shared" si="11"/>
        <v>0</v>
      </c>
      <c r="F35" s="15">
        <f t="shared" si="11"/>
        <v>-16</v>
      </c>
      <c r="G35" s="15">
        <f t="shared" si="11"/>
        <v>0</v>
      </c>
      <c r="H35" s="15">
        <f t="shared" si="11"/>
        <v>0</v>
      </c>
      <c r="I35" s="20">
        <f t="shared" si="5"/>
        <v>46.162276172922262</v>
      </c>
      <c r="J35" s="3" t="str">
        <f t="shared" si="6"/>
        <v>0</v>
      </c>
      <c r="K35" s="9">
        <v>501.18723362727269</v>
      </c>
      <c r="L35" s="15">
        <f t="shared" si="12"/>
        <v>0</v>
      </c>
      <c r="M35" s="15">
        <f t="shared" si="12"/>
        <v>-4.5</v>
      </c>
      <c r="N35" s="15">
        <f t="shared" si="12"/>
        <v>0</v>
      </c>
      <c r="O35" s="15">
        <f t="shared" si="12"/>
        <v>-81</v>
      </c>
      <c r="P35" s="15">
        <f t="shared" si="12"/>
        <v>0</v>
      </c>
      <c r="Q35" s="15">
        <f t="shared" si="12"/>
        <v>0</v>
      </c>
      <c r="R35" s="16">
        <f t="shared" si="7"/>
        <v>-85.5</v>
      </c>
    </row>
    <row r="36" spans="2:18">
      <c r="B36" s="9">
        <v>630.9573444801938</v>
      </c>
      <c r="C36" s="15">
        <f t="shared" si="11"/>
        <v>62.162276172922262</v>
      </c>
      <c r="D36" s="15">
        <f t="shared" si="11"/>
        <v>0</v>
      </c>
      <c r="E36" s="15">
        <f t="shared" si="11"/>
        <v>0</v>
      </c>
      <c r="F36" s="15">
        <f t="shared" si="11"/>
        <v>-18</v>
      </c>
      <c r="G36" s="15">
        <f t="shared" si="11"/>
        <v>0</v>
      </c>
      <c r="H36" s="15">
        <f t="shared" si="11"/>
        <v>0</v>
      </c>
      <c r="I36" s="20">
        <f t="shared" si="5"/>
        <v>44.162276172922262</v>
      </c>
      <c r="J36" s="3" t="str">
        <f t="shared" si="6"/>
        <v>0</v>
      </c>
      <c r="K36" s="9">
        <v>630.9573444801938</v>
      </c>
      <c r="L36" s="15">
        <f t="shared" si="12"/>
        <v>0</v>
      </c>
      <c r="M36" s="15">
        <f t="shared" si="12"/>
        <v>-9</v>
      </c>
      <c r="N36" s="15">
        <f t="shared" si="12"/>
        <v>0</v>
      </c>
      <c r="O36" s="15">
        <f t="shared" si="12"/>
        <v>-85.5</v>
      </c>
      <c r="P36" s="15">
        <f t="shared" si="12"/>
        <v>0</v>
      </c>
      <c r="Q36" s="15">
        <f t="shared" si="12"/>
        <v>4.5</v>
      </c>
      <c r="R36" s="16">
        <f t="shared" si="7"/>
        <v>-90</v>
      </c>
    </row>
    <row r="37" spans="2:18">
      <c r="B37" s="9">
        <v>794.32823472428277</v>
      </c>
      <c r="C37" s="15">
        <f t="shared" si="11"/>
        <v>62.162276172922262</v>
      </c>
      <c r="D37" s="15">
        <f t="shared" si="11"/>
        <v>0</v>
      </c>
      <c r="E37" s="15">
        <f t="shared" si="11"/>
        <v>0</v>
      </c>
      <c r="F37" s="15">
        <f t="shared" si="11"/>
        <v>-20</v>
      </c>
      <c r="G37" s="15">
        <f t="shared" si="11"/>
        <v>0</v>
      </c>
      <c r="H37" s="15">
        <f t="shared" si="11"/>
        <v>0</v>
      </c>
      <c r="I37" s="20">
        <f t="shared" si="5"/>
        <v>42.162276172922262</v>
      </c>
      <c r="J37" s="3" t="str">
        <f t="shared" si="6"/>
        <v>0</v>
      </c>
      <c r="K37" s="9">
        <v>794.32823472428277</v>
      </c>
      <c r="L37" s="15">
        <f t="shared" si="12"/>
        <v>0</v>
      </c>
      <c r="M37" s="15">
        <f t="shared" si="12"/>
        <v>-13.5</v>
      </c>
      <c r="N37" s="15">
        <f t="shared" si="12"/>
        <v>0</v>
      </c>
      <c r="O37" s="15">
        <f t="shared" si="12"/>
        <v>-90</v>
      </c>
      <c r="P37" s="15">
        <f t="shared" si="12"/>
        <v>0</v>
      </c>
      <c r="Q37" s="15">
        <f t="shared" si="12"/>
        <v>9</v>
      </c>
      <c r="R37" s="16">
        <f t="shared" si="7"/>
        <v>-94.5</v>
      </c>
    </row>
    <row r="38" spans="2:18">
      <c r="B38" s="9">
        <v>1000</v>
      </c>
      <c r="C38" s="15">
        <f t="shared" si="11"/>
        <v>62.162276172922262</v>
      </c>
      <c r="D38" s="15">
        <f t="shared" si="11"/>
        <v>0</v>
      </c>
      <c r="E38" s="15">
        <f t="shared" si="11"/>
        <v>0</v>
      </c>
      <c r="F38" s="15">
        <f t="shared" si="11"/>
        <v>-22</v>
      </c>
      <c r="G38" s="15">
        <f t="shared" si="11"/>
        <v>0</v>
      </c>
      <c r="H38" s="15">
        <f t="shared" si="11"/>
        <v>0</v>
      </c>
      <c r="I38" s="20">
        <f t="shared" si="5"/>
        <v>40.162276172922262</v>
      </c>
      <c r="J38" s="3" t="str">
        <f t="shared" si="6"/>
        <v>0</v>
      </c>
      <c r="K38" s="9">
        <v>1000</v>
      </c>
      <c r="L38" s="15">
        <f t="shared" si="12"/>
        <v>0</v>
      </c>
      <c r="M38" s="15">
        <f t="shared" si="12"/>
        <v>-18</v>
      </c>
      <c r="N38" s="15">
        <f t="shared" si="12"/>
        <v>0</v>
      </c>
      <c r="O38" s="15">
        <f t="shared" si="12"/>
        <v>-90</v>
      </c>
      <c r="P38" s="15">
        <f t="shared" si="12"/>
        <v>0</v>
      </c>
      <c r="Q38" s="15">
        <f t="shared" si="12"/>
        <v>13.5</v>
      </c>
      <c r="R38" s="16">
        <f t="shared" si="7"/>
        <v>-94.5</v>
      </c>
    </row>
    <row r="39" spans="2:18">
      <c r="B39" s="9">
        <v>1258.925411794168</v>
      </c>
      <c r="C39" s="15">
        <f t="shared" si="11"/>
        <v>62.162276172922262</v>
      </c>
      <c r="D39" s="15">
        <f t="shared" si="11"/>
        <v>0</v>
      </c>
      <c r="E39" s="15">
        <f t="shared" si="11"/>
        <v>0</v>
      </c>
      <c r="F39" s="15">
        <f t="shared" si="11"/>
        <v>-24</v>
      </c>
      <c r="G39" s="15">
        <f t="shared" si="11"/>
        <v>0</v>
      </c>
      <c r="H39" s="15">
        <f t="shared" si="11"/>
        <v>0</v>
      </c>
      <c r="I39" s="20">
        <f t="shared" si="5"/>
        <v>38.162276172922262</v>
      </c>
      <c r="J39" s="3" t="str">
        <f t="shared" si="6"/>
        <v>0</v>
      </c>
      <c r="K39" s="9">
        <v>1258.925411794168</v>
      </c>
      <c r="L39" s="15">
        <f t="shared" si="12"/>
        <v>0</v>
      </c>
      <c r="M39" s="15">
        <f t="shared" si="12"/>
        <v>-22.5</v>
      </c>
      <c r="N39" s="15">
        <f t="shared" si="12"/>
        <v>0</v>
      </c>
      <c r="O39" s="15">
        <f t="shared" si="12"/>
        <v>-90</v>
      </c>
      <c r="P39" s="15">
        <f t="shared" si="12"/>
        <v>0</v>
      </c>
      <c r="Q39" s="15">
        <f t="shared" si="12"/>
        <v>18</v>
      </c>
      <c r="R39" s="16">
        <f t="shared" si="7"/>
        <v>-94.5</v>
      </c>
    </row>
    <row r="40" spans="2:18">
      <c r="B40" s="9">
        <v>1584.8931924611156</v>
      </c>
      <c r="C40" s="15">
        <f t="shared" si="11"/>
        <v>62.162276172922262</v>
      </c>
      <c r="D40" s="15">
        <f t="shared" si="11"/>
        <v>0</v>
      </c>
      <c r="E40" s="15">
        <f t="shared" si="11"/>
        <v>0</v>
      </c>
      <c r="F40" s="15">
        <f t="shared" si="11"/>
        <v>-26</v>
      </c>
      <c r="G40" s="15">
        <f t="shared" si="11"/>
        <v>0</v>
      </c>
      <c r="H40" s="15">
        <f t="shared" si="11"/>
        <v>0</v>
      </c>
      <c r="I40" s="20">
        <f t="shared" ref="I40:I69" si="13">SUM(C40:H40)</f>
        <v>36.162276172922262</v>
      </c>
      <c r="J40" s="3" t="str">
        <f t="shared" ref="J40:J69" si="14">IF(AND($I40&lt;0,$I39&gt;0),$B40,"0")</f>
        <v>0</v>
      </c>
      <c r="K40" s="9">
        <v>1584.8931924611156</v>
      </c>
      <c r="L40" s="15">
        <f t="shared" si="12"/>
        <v>0</v>
      </c>
      <c r="M40" s="15">
        <f t="shared" si="12"/>
        <v>-27</v>
      </c>
      <c r="N40" s="15">
        <f t="shared" si="12"/>
        <v>0</v>
      </c>
      <c r="O40" s="15">
        <f t="shared" si="12"/>
        <v>-90</v>
      </c>
      <c r="P40" s="15">
        <f t="shared" si="12"/>
        <v>0</v>
      </c>
      <c r="Q40" s="15">
        <f t="shared" si="12"/>
        <v>22.5</v>
      </c>
      <c r="R40" s="16">
        <f t="shared" ref="R40:R69" si="15">SUM(L40:Q40)</f>
        <v>-94.5</v>
      </c>
    </row>
    <row r="41" spans="2:18">
      <c r="B41" s="9">
        <v>1995.2623149688823</v>
      </c>
      <c r="C41" s="15">
        <f t="shared" ref="C41:H56" si="16">IF(OR(ISNUMBER(C$4),ISNUMBER(C$5)),IF(ISNUMBER(C$4),IF($B41&gt;C$4,C40-2,C40),IF($B41&gt;C$5,C40+2,C40)),C40)</f>
        <v>62.162276172922262</v>
      </c>
      <c r="D41" s="15">
        <f t="shared" si="16"/>
        <v>0</v>
      </c>
      <c r="E41" s="15">
        <f t="shared" si="16"/>
        <v>0</v>
      </c>
      <c r="F41" s="15">
        <f t="shared" si="16"/>
        <v>-28</v>
      </c>
      <c r="G41" s="15">
        <f t="shared" si="16"/>
        <v>0</v>
      </c>
      <c r="H41" s="15">
        <f t="shared" si="16"/>
        <v>0</v>
      </c>
      <c r="I41" s="20">
        <f t="shared" si="13"/>
        <v>34.162276172922262</v>
      </c>
      <c r="J41" s="3" t="str">
        <f t="shared" si="14"/>
        <v>0</v>
      </c>
      <c r="K41" s="9">
        <v>1995.2623149688823</v>
      </c>
      <c r="L41" s="15">
        <f t="shared" ref="L41:Q56" si="17">IF(OR(ISNUMBER(L$4),ISNUMBER(L$5)),IF(ISNUMBER(L$4),IF(AND($B41&gt;L$4/10,$B41&lt;L$4*10),L40-4.5,L40),IF(AND($B41&gt;L$5/10,$B41&lt;L$5*10),L40+4.5,L40)),L40)</f>
        <v>0</v>
      </c>
      <c r="M41" s="15">
        <f t="shared" si="17"/>
        <v>-31.5</v>
      </c>
      <c r="N41" s="15">
        <f t="shared" si="17"/>
        <v>0</v>
      </c>
      <c r="O41" s="15">
        <f t="shared" si="17"/>
        <v>-90</v>
      </c>
      <c r="P41" s="15">
        <f t="shared" si="17"/>
        <v>0</v>
      </c>
      <c r="Q41" s="15">
        <f t="shared" si="17"/>
        <v>27</v>
      </c>
      <c r="R41" s="16">
        <f t="shared" si="15"/>
        <v>-94.5</v>
      </c>
    </row>
    <row r="42" spans="2:18">
      <c r="B42" s="9">
        <v>2511.8864315095834</v>
      </c>
      <c r="C42" s="15">
        <f t="shared" si="16"/>
        <v>62.162276172922262</v>
      </c>
      <c r="D42" s="15">
        <f t="shared" si="16"/>
        <v>0</v>
      </c>
      <c r="E42" s="15">
        <f t="shared" si="16"/>
        <v>0</v>
      </c>
      <c r="F42" s="15">
        <f t="shared" si="16"/>
        <v>-30</v>
      </c>
      <c r="G42" s="15">
        <f t="shared" si="16"/>
        <v>0</v>
      </c>
      <c r="H42" s="15">
        <f t="shared" si="16"/>
        <v>0</v>
      </c>
      <c r="I42" s="20">
        <f t="shared" si="13"/>
        <v>32.162276172922262</v>
      </c>
      <c r="J42" s="3" t="str">
        <f t="shared" si="14"/>
        <v>0</v>
      </c>
      <c r="K42" s="9">
        <v>2511.8864315095834</v>
      </c>
      <c r="L42" s="15">
        <f t="shared" si="17"/>
        <v>0</v>
      </c>
      <c r="M42" s="15">
        <f t="shared" si="17"/>
        <v>-36</v>
      </c>
      <c r="N42" s="15">
        <f t="shared" si="17"/>
        <v>0</v>
      </c>
      <c r="O42" s="15">
        <f t="shared" si="17"/>
        <v>-90</v>
      </c>
      <c r="P42" s="15">
        <f t="shared" si="17"/>
        <v>0</v>
      </c>
      <c r="Q42" s="15">
        <f t="shared" si="17"/>
        <v>31.5</v>
      </c>
      <c r="R42" s="16">
        <f t="shared" si="15"/>
        <v>-94.5</v>
      </c>
    </row>
    <row r="43" spans="2:18">
      <c r="B43" s="9">
        <v>3162.2776601683804</v>
      </c>
      <c r="C43" s="15">
        <f t="shared" si="16"/>
        <v>62.162276172922262</v>
      </c>
      <c r="D43" s="15">
        <f t="shared" si="16"/>
        <v>0</v>
      </c>
      <c r="E43" s="15">
        <f t="shared" si="16"/>
        <v>0</v>
      </c>
      <c r="F43" s="15">
        <f t="shared" si="16"/>
        <v>-32</v>
      </c>
      <c r="G43" s="15">
        <f t="shared" si="16"/>
        <v>0</v>
      </c>
      <c r="H43" s="15">
        <f t="shared" si="16"/>
        <v>0</v>
      </c>
      <c r="I43" s="20">
        <f t="shared" si="13"/>
        <v>30.162276172922262</v>
      </c>
      <c r="J43" s="3" t="str">
        <f t="shared" si="14"/>
        <v>0</v>
      </c>
      <c r="K43" s="9">
        <v>3162.2776601683804</v>
      </c>
      <c r="L43" s="15">
        <f t="shared" si="17"/>
        <v>0</v>
      </c>
      <c r="M43" s="15">
        <f t="shared" si="17"/>
        <v>-40.5</v>
      </c>
      <c r="N43" s="15">
        <f t="shared" si="17"/>
        <v>0</v>
      </c>
      <c r="O43" s="15">
        <f t="shared" si="17"/>
        <v>-90</v>
      </c>
      <c r="P43" s="15">
        <f t="shared" si="17"/>
        <v>0</v>
      </c>
      <c r="Q43" s="15">
        <f t="shared" si="17"/>
        <v>36</v>
      </c>
      <c r="R43" s="16">
        <f t="shared" si="15"/>
        <v>-94.5</v>
      </c>
    </row>
    <row r="44" spans="2:18">
      <c r="B44" s="9">
        <v>3981.0717055349769</v>
      </c>
      <c r="C44" s="15">
        <f t="shared" si="16"/>
        <v>62.162276172922262</v>
      </c>
      <c r="D44" s="15">
        <f t="shared" si="16"/>
        <v>0</v>
      </c>
      <c r="E44" s="15">
        <f t="shared" si="16"/>
        <v>0</v>
      </c>
      <c r="F44" s="15">
        <f t="shared" si="16"/>
        <v>-34</v>
      </c>
      <c r="G44" s="15">
        <f t="shared" si="16"/>
        <v>0</v>
      </c>
      <c r="H44" s="15">
        <f t="shared" si="16"/>
        <v>0</v>
      </c>
      <c r="I44" s="20">
        <f t="shared" si="13"/>
        <v>28.162276172922262</v>
      </c>
      <c r="J44" s="3" t="str">
        <f t="shared" si="14"/>
        <v>0</v>
      </c>
      <c r="K44" s="9">
        <v>3981.0717055349769</v>
      </c>
      <c r="L44" s="15">
        <f t="shared" si="17"/>
        <v>0</v>
      </c>
      <c r="M44" s="15">
        <f t="shared" si="17"/>
        <v>-45</v>
      </c>
      <c r="N44" s="15">
        <f t="shared" si="17"/>
        <v>0</v>
      </c>
      <c r="O44" s="15">
        <f t="shared" si="17"/>
        <v>-90</v>
      </c>
      <c r="P44" s="15">
        <f t="shared" si="17"/>
        <v>0</v>
      </c>
      <c r="Q44" s="15">
        <f t="shared" si="17"/>
        <v>40.5</v>
      </c>
      <c r="R44" s="16">
        <f t="shared" si="15"/>
        <v>-94.5</v>
      </c>
    </row>
    <row r="45" spans="2:18">
      <c r="B45" s="9">
        <v>5011.8723362727324</v>
      </c>
      <c r="C45" s="15">
        <f t="shared" si="16"/>
        <v>62.162276172922262</v>
      </c>
      <c r="D45" s="15">
        <f t="shared" si="16"/>
        <v>-2</v>
      </c>
      <c r="E45" s="15">
        <f t="shared" si="16"/>
        <v>0</v>
      </c>
      <c r="F45" s="15">
        <f t="shared" si="16"/>
        <v>-36</v>
      </c>
      <c r="G45" s="15">
        <f t="shared" si="16"/>
        <v>0</v>
      </c>
      <c r="H45" s="15">
        <f t="shared" si="16"/>
        <v>0</v>
      </c>
      <c r="I45" s="20">
        <f t="shared" si="13"/>
        <v>24.162276172922262</v>
      </c>
      <c r="J45" s="3" t="str">
        <f t="shared" si="14"/>
        <v>0</v>
      </c>
      <c r="K45" s="9">
        <v>5011.8723362727324</v>
      </c>
      <c r="L45" s="15">
        <f t="shared" si="17"/>
        <v>0</v>
      </c>
      <c r="M45" s="15">
        <f t="shared" si="17"/>
        <v>-49.5</v>
      </c>
      <c r="N45" s="15">
        <f t="shared" si="17"/>
        <v>0</v>
      </c>
      <c r="O45" s="15">
        <f t="shared" si="17"/>
        <v>-90</v>
      </c>
      <c r="P45" s="15">
        <f t="shared" si="17"/>
        <v>0</v>
      </c>
      <c r="Q45" s="15">
        <f t="shared" si="17"/>
        <v>45</v>
      </c>
      <c r="R45" s="16">
        <f t="shared" si="15"/>
        <v>-94.5</v>
      </c>
    </row>
    <row r="46" spans="2:18">
      <c r="B46" s="9">
        <v>6309.5734448019384</v>
      </c>
      <c r="C46" s="15">
        <f t="shared" si="16"/>
        <v>62.162276172922262</v>
      </c>
      <c r="D46" s="15">
        <f t="shared" si="16"/>
        <v>-4</v>
      </c>
      <c r="E46" s="15">
        <f t="shared" si="16"/>
        <v>0</v>
      </c>
      <c r="F46" s="15">
        <f t="shared" si="16"/>
        <v>-38</v>
      </c>
      <c r="G46" s="15">
        <f t="shared" si="16"/>
        <v>0</v>
      </c>
      <c r="H46" s="15">
        <f t="shared" si="16"/>
        <v>2</v>
      </c>
      <c r="I46" s="20">
        <f t="shared" si="13"/>
        <v>22.162276172922262</v>
      </c>
      <c r="J46" s="3" t="str">
        <f t="shared" si="14"/>
        <v>0</v>
      </c>
      <c r="K46" s="9">
        <v>6309.5734448019384</v>
      </c>
      <c r="L46" s="15">
        <f t="shared" si="17"/>
        <v>0</v>
      </c>
      <c r="M46" s="15">
        <f t="shared" si="17"/>
        <v>-54</v>
      </c>
      <c r="N46" s="15">
        <f t="shared" si="17"/>
        <v>0</v>
      </c>
      <c r="O46" s="15">
        <f t="shared" si="17"/>
        <v>-90</v>
      </c>
      <c r="P46" s="15">
        <f t="shared" si="17"/>
        <v>0</v>
      </c>
      <c r="Q46" s="15">
        <f t="shared" si="17"/>
        <v>49.5</v>
      </c>
      <c r="R46" s="16">
        <f t="shared" si="15"/>
        <v>-94.5</v>
      </c>
    </row>
    <row r="47" spans="2:18">
      <c r="B47" s="9">
        <v>7943.2823472428299</v>
      </c>
      <c r="C47" s="15">
        <f t="shared" si="16"/>
        <v>62.162276172922262</v>
      </c>
      <c r="D47" s="15">
        <f t="shared" si="16"/>
        <v>-6</v>
      </c>
      <c r="E47" s="15">
        <f t="shared" si="16"/>
        <v>0</v>
      </c>
      <c r="F47" s="15">
        <f t="shared" si="16"/>
        <v>-40</v>
      </c>
      <c r="G47" s="15">
        <f t="shared" si="16"/>
        <v>0</v>
      </c>
      <c r="H47" s="15">
        <f t="shared" si="16"/>
        <v>4</v>
      </c>
      <c r="I47" s="20">
        <f t="shared" si="13"/>
        <v>20.162276172922262</v>
      </c>
      <c r="J47" s="3" t="str">
        <f t="shared" si="14"/>
        <v>0</v>
      </c>
      <c r="K47" s="9">
        <v>7943.2823472428299</v>
      </c>
      <c r="L47" s="15">
        <f t="shared" si="17"/>
        <v>0</v>
      </c>
      <c r="M47" s="15">
        <f t="shared" si="17"/>
        <v>-58.5</v>
      </c>
      <c r="N47" s="15">
        <f t="shared" si="17"/>
        <v>0</v>
      </c>
      <c r="O47" s="15">
        <f t="shared" si="17"/>
        <v>-90</v>
      </c>
      <c r="P47" s="15">
        <f t="shared" si="17"/>
        <v>0</v>
      </c>
      <c r="Q47" s="15">
        <f t="shared" si="17"/>
        <v>54</v>
      </c>
      <c r="R47" s="16">
        <f t="shared" si="15"/>
        <v>-94.5</v>
      </c>
    </row>
    <row r="48" spans="2:18">
      <c r="B48" s="9">
        <v>10000</v>
      </c>
      <c r="C48" s="15">
        <f t="shared" si="16"/>
        <v>62.162276172922262</v>
      </c>
      <c r="D48" s="15">
        <f t="shared" si="16"/>
        <v>-8</v>
      </c>
      <c r="E48" s="15">
        <f t="shared" si="16"/>
        <v>0</v>
      </c>
      <c r="F48" s="15">
        <f t="shared" si="16"/>
        <v>-42</v>
      </c>
      <c r="G48" s="15">
        <f t="shared" si="16"/>
        <v>0</v>
      </c>
      <c r="H48" s="15">
        <f t="shared" si="16"/>
        <v>6</v>
      </c>
      <c r="I48" s="20">
        <f t="shared" si="13"/>
        <v>18.162276172922262</v>
      </c>
      <c r="J48" s="3" t="str">
        <f t="shared" si="14"/>
        <v>0</v>
      </c>
      <c r="K48" s="9">
        <v>10000</v>
      </c>
      <c r="L48" s="15">
        <f t="shared" si="17"/>
        <v>0</v>
      </c>
      <c r="M48" s="15">
        <f t="shared" si="17"/>
        <v>-63</v>
      </c>
      <c r="N48" s="15">
        <f t="shared" si="17"/>
        <v>0</v>
      </c>
      <c r="O48" s="15">
        <f t="shared" si="17"/>
        <v>-90</v>
      </c>
      <c r="P48" s="15">
        <f t="shared" si="17"/>
        <v>0</v>
      </c>
      <c r="Q48" s="15">
        <f t="shared" si="17"/>
        <v>58.5</v>
      </c>
      <c r="R48" s="16">
        <f t="shared" si="15"/>
        <v>-94.5</v>
      </c>
    </row>
    <row r="49" spans="2:18">
      <c r="B49" s="9">
        <v>12589.254117941693</v>
      </c>
      <c r="C49" s="15">
        <f t="shared" si="16"/>
        <v>62.162276172922262</v>
      </c>
      <c r="D49" s="15">
        <f t="shared" si="16"/>
        <v>-10</v>
      </c>
      <c r="E49" s="15">
        <f t="shared" si="16"/>
        <v>0</v>
      </c>
      <c r="F49" s="15">
        <f t="shared" si="16"/>
        <v>-44</v>
      </c>
      <c r="G49" s="15">
        <f t="shared" si="16"/>
        <v>0</v>
      </c>
      <c r="H49" s="15">
        <f t="shared" si="16"/>
        <v>8</v>
      </c>
      <c r="I49" s="20">
        <f t="shared" si="13"/>
        <v>16.162276172922262</v>
      </c>
      <c r="J49" s="3" t="str">
        <f t="shared" si="14"/>
        <v>0</v>
      </c>
      <c r="K49" s="9">
        <v>12589.254117941693</v>
      </c>
      <c r="L49" s="15">
        <f t="shared" si="17"/>
        <v>0</v>
      </c>
      <c r="M49" s="15">
        <f t="shared" si="17"/>
        <v>-67.5</v>
      </c>
      <c r="N49" s="15">
        <f t="shared" si="17"/>
        <v>0</v>
      </c>
      <c r="O49" s="15">
        <f t="shared" si="17"/>
        <v>-90</v>
      </c>
      <c r="P49" s="15">
        <f t="shared" si="17"/>
        <v>0</v>
      </c>
      <c r="Q49" s="15">
        <f t="shared" si="17"/>
        <v>63</v>
      </c>
      <c r="R49" s="16">
        <f t="shared" si="15"/>
        <v>-94.5</v>
      </c>
    </row>
    <row r="50" spans="2:18">
      <c r="B50" s="9">
        <v>15848.931924611146</v>
      </c>
      <c r="C50" s="15">
        <f t="shared" si="16"/>
        <v>62.162276172922262</v>
      </c>
      <c r="D50" s="15">
        <f t="shared" si="16"/>
        <v>-12</v>
      </c>
      <c r="E50" s="15">
        <f t="shared" si="16"/>
        <v>0</v>
      </c>
      <c r="F50" s="15">
        <f t="shared" si="16"/>
        <v>-46</v>
      </c>
      <c r="G50" s="15">
        <f t="shared" si="16"/>
        <v>0</v>
      </c>
      <c r="H50" s="15">
        <f t="shared" si="16"/>
        <v>10</v>
      </c>
      <c r="I50" s="20">
        <f t="shared" si="13"/>
        <v>14.162276172922262</v>
      </c>
      <c r="J50" s="3" t="str">
        <f t="shared" si="14"/>
        <v>0</v>
      </c>
      <c r="K50" s="9">
        <v>15848.931924611146</v>
      </c>
      <c r="L50" s="15">
        <f t="shared" si="17"/>
        <v>0</v>
      </c>
      <c r="M50" s="15">
        <f t="shared" si="17"/>
        <v>-72</v>
      </c>
      <c r="N50" s="15">
        <f t="shared" si="17"/>
        <v>0</v>
      </c>
      <c r="O50" s="15">
        <f t="shared" si="17"/>
        <v>-90</v>
      </c>
      <c r="P50" s="15">
        <f t="shared" si="17"/>
        <v>0</v>
      </c>
      <c r="Q50" s="15">
        <f t="shared" si="17"/>
        <v>67.5</v>
      </c>
      <c r="R50" s="16">
        <f t="shared" si="15"/>
        <v>-94.5</v>
      </c>
    </row>
    <row r="51" spans="2:18">
      <c r="B51" s="9">
        <v>19952.623149688792</v>
      </c>
      <c r="C51" s="15">
        <f t="shared" si="16"/>
        <v>62.162276172922262</v>
      </c>
      <c r="D51" s="15">
        <f t="shared" si="16"/>
        <v>-14</v>
      </c>
      <c r="E51" s="15">
        <f t="shared" si="16"/>
        <v>0</v>
      </c>
      <c r="F51" s="15">
        <f t="shared" si="16"/>
        <v>-48</v>
      </c>
      <c r="G51" s="15">
        <f t="shared" si="16"/>
        <v>0</v>
      </c>
      <c r="H51" s="15">
        <f t="shared" si="16"/>
        <v>12</v>
      </c>
      <c r="I51" s="20">
        <f t="shared" si="13"/>
        <v>12.162276172922262</v>
      </c>
      <c r="J51" s="3" t="str">
        <f t="shared" si="14"/>
        <v>0</v>
      </c>
      <c r="K51" s="9">
        <v>19952.623149688792</v>
      </c>
      <c r="L51" s="15">
        <f t="shared" si="17"/>
        <v>0</v>
      </c>
      <c r="M51" s="15">
        <f t="shared" si="17"/>
        <v>-76.5</v>
      </c>
      <c r="N51" s="15">
        <f t="shared" si="17"/>
        <v>0</v>
      </c>
      <c r="O51" s="15">
        <f t="shared" si="17"/>
        <v>-90</v>
      </c>
      <c r="P51" s="15">
        <f t="shared" si="17"/>
        <v>0</v>
      </c>
      <c r="Q51" s="15">
        <f t="shared" si="17"/>
        <v>72</v>
      </c>
      <c r="R51" s="16">
        <f t="shared" si="15"/>
        <v>-94.5</v>
      </c>
    </row>
    <row r="52" spans="2:18">
      <c r="B52" s="9">
        <v>25118.86431509586</v>
      </c>
      <c r="C52" s="15">
        <f t="shared" si="16"/>
        <v>62.162276172922262</v>
      </c>
      <c r="D52" s="15">
        <f t="shared" si="16"/>
        <v>-16</v>
      </c>
      <c r="E52" s="15">
        <f t="shared" si="16"/>
        <v>0</v>
      </c>
      <c r="F52" s="15">
        <f t="shared" si="16"/>
        <v>-50</v>
      </c>
      <c r="G52" s="15">
        <f t="shared" si="16"/>
        <v>0</v>
      </c>
      <c r="H52" s="15">
        <f t="shared" si="16"/>
        <v>14</v>
      </c>
      <c r="I52" s="20">
        <f t="shared" si="13"/>
        <v>10.162276172922262</v>
      </c>
      <c r="J52" s="3" t="str">
        <f t="shared" si="14"/>
        <v>0</v>
      </c>
      <c r="K52" s="9">
        <v>25118.86431509586</v>
      </c>
      <c r="L52" s="15">
        <f t="shared" si="17"/>
        <v>0</v>
      </c>
      <c r="M52" s="15">
        <f t="shared" si="17"/>
        <v>-81</v>
      </c>
      <c r="N52" s="15">
        <f t="shared" si="17"/>
        <v>0</v>
      </c>
      <c r="O52" s="15">
        <f t="shared" si="17"/>
        <v>-90</v>
      </c>
      <c r="P52" s="15">
        <f t="shared" si="17"/>
        <v>0</v>
      </c>
      <c r="Q52" s="15">
        <f t="shared" si="17"/>
        <v>76.5</v>
      </c>
      <c r="R52" s="16">
        <f t="shared" si="15"/>
        <v>-94.5</v>
      </c>
    </row>
    <row r="53" spans="2:18">
      <c r="B53" s="9">
        <v>31622.77660168384</v>
      </c>
      <c r="C53" s="15">
        <f t="shared" si="16"/>
        <v>62.162276172922262</v>
      </c>
      <c r="D53" s="15">
        <f t="shared" si="16"/>
        <v>-18</v>
      </c>
      <c r="E53" s="15">
        <f t="shared" si="16"/>
        <v>0</v>
      </c>
      <c r="F53" s="15">
        <f t="shared" si="16"/>
        <v>-52</v>
      </c>
      <c r="G53" s="15">
        <f t="shared" si="16"/>
        <v>0</v>
      </c>
      <c r="H53" s="15">
        <f t="shared" si="16"/>
        <v>16</v>
      </c>
      <c r="I53" s="20">
        <f t="shared" si="13"/>
        <v>8.1622761729222617</v>
      </c>
      <c r="J53" s="3" t="str">
        <f t="shared" si="14"/>
        <v>0</v>
      </c>
      <c r="K53" s="9">
        <v>31622.77660168384</v>
      </c>
      <c r="L53" s="15">
        <f t="shared" si="17"/>
        <v>0</v>
      </c>
      <c r="M53" s="15">
        <f t="shared" si="17"/>
        <v>-85.5</v>
      </c>
      <c r="N53" s="15">
        <f t="shared" si="17"/>
        <v>0</v>
      </c>
      <c r="O53" s="15">
        <f t="shared" si="17"/>
        <v>-90</v>
      </c>
      <c r="P53" s="15">
        <f t="shared" si="17"/>
        <v>0</v>
      </c>
      <c r="Q53" s="15">
        <f t="shared" si="17"/>
        <v>81</v>
      </c>
      <c r="R53" s="16">
        <f t="shared" si="15"/>
        <v>-94.5</v>
      </c>
    </row>
    <row r="54" spans="2:18">
      <c r="B54" s="9">
        <v>39810.717055349814</v>
      </c>
      <c r="C54" s="15">
        <f t="shared" si="16"/>
        <v>62.162276172922262</v>
      </c>
      <c r="D54" s="15">
        <f t="shared" si="16"/>
        <v>-20</v>
      </c>
      <c r="E54" s="15">
        <f t="shared" si="16"/>
        <v>0</v>
      </c>
      <c r="F54" s="15">
        <f t="shared" si="16"/>
        <v>-54</v>
      </c>
      <c r="G54" s="15">
        <f t="shared" si="16"/>
        <v>0</v>
      </c>
      <c r="H54" s="15">
        <f t="shared" si="16"/>
        <v>18</v>
      </c>
      <c r="I54" s="20">
        <f t="shared" si="13"/>
        <v>6.1622761729222617</v>
      </c>
      <c r="J54" s="3" t="str">
        <f t="shared" si="14"/>
        <v>0</v>
      </c>
      <c r="K54" s="9">
        <v>39810.717055349814</v>
      </c>
      <c r="L54" s="15">
        <f t="shared" si="17"/>
        <v>0</v>
      </c>
      <c r="M54" s="15">
        <f t="shared" si="17"/>
        <v>-90</v>
      </c>
      <c r="N54" s="15">
        <f t="shared" si="17"/>
        <v>0</v>
      </c>
      <c r="O54" s="15">
        <f t="shared" si="17"/>
        <v>-90</v>
      </c>
      <c r="P54" s="15">
        <f t="shared" si="17"/>
        <v>0</v>
      </c>
      <c r="Q54" s="15">
        <f t="shared" si="17"/>
        <v>85.5</v>
      </c>
      <c r="R54" s="16">
        <f t="shared" si="15"/>
        <v>-94.5</v>
      </c>
    </row>
    <row r="55" spans="2:18">
      <c r="B55" s="9">
        <v>50118.723362727294</v>
      </c>
      <c r="C55" s="15">
        <f t="shared" si="16"/>
        <v>62.162276172922262</v>
      </c>
      <c r="D55" s="15">
        <f t="shared" si="16"/>
        <v>-22</v>
      </c>
      <c r="E55" s="15">
        <f t="shared" si="16"/>
        <v>0</v>
      </c>
      <c r="F55" s="15">
        <f t="shared" si="16"/>
        <v>-56</v>
      </c>
      <c r="G55" s="15">
        <f t="shared" si="16"/>
        <v>0</v>
      </c>
      <c r="H55" s="15">
        <f t="shared" si="16"/>
        <v>20</v>
      </c>
      <c r="I55" s="20">
        <f t="shared" si="13"/>
        <v>4.1622761729222617</v>
      </c>
      <c r="J55" s="3" t="str">
        <f t="shared" si="14"/>
        <v>0</v>
      </c>
      <c r="K55" s="9">
        <v>50118.723362727294</v>
      </c>
      <c r="L55" s="15">
        <f t="shared" si="17"/>
        <v>0</v>
      </c>
      <c r="M55" s="15">
        <f t="shared" si="17"/>
        <v>-90</v>
      </c>
      <c r="N55" s="15">
        <f t="shared" si="17"/>
        <v>0</v>
      </c>
      <c r="O55" s="15">
        <f t="shared" si="17"/>
        <v>-90</v>
      </c>
      <c r="P55" s="15">
        <f t="shared" si="17"/>
        <v>0</v>
      </c>
      <c r="Q55" s="15">
        <f t="shared" si="17"/>
        <v>90</v>
      </c>
      <c r="R55" s="16">
        <f t="shared" si="15"/>
        <v>-90</v>
      </c>
    </row>
    <row r="56" spans="2:18">
      <c r="B56" s="9">
        <v>63095.734448019459</v>
      </c>
      <c r="C56" s="15">
        <f t="shared" si="16"/>
        <v>62.162276172922262</v>
      </c>
      <c r="D56" s="15">
        <f t="shared" si="16"/>
        <v>-24</v>
      </c>
      <c r="E56" s="15">
        <f t="shared" si="16"/>
        <v>0</v>
      </c>
      <c r="F56" s="15">
        <f t="shared" si="16"/>
        <v>-58</v>
      </c>
      <c r="G56" s="15">
        <f t="shared" si="16"/>
        <v>0</v>
      </c>
      <c r="H56" s="15">
        <f t="shared" si="16"/>
        <v>22</v>
      </c>
      <c r="I56" s="20">
        <f t="shared" si="13"/>
        <v>2.1622761729222617</v>
      </c>
      <c r="J56" s="3" t="str">
        <f t="shared" si="14"/>
        <v>0</v>
      </c>
      <c r="K56" s="9">
        <v>63095.734448019459</v>
      </c>
      <c r="L56" s="15">
        <f t="shared" si="17"/>
        <v>0</v>
      </c>
      <c r="M56" s="15">
        <f t="shared" si="17"/>
        <v>-90</v>
      </c>
      <c r="N56" s="15">
        <f t="shared" si="17"/>
        <v>0</v>
      </c>
      <c r="O56" s="15">
        <f t="shared" si="17"/>
        <v>-90</v>
      </c>
      <c r="P56" s="15">
        <f t="shared" si="17"/>
        <v>0</v>
      </c>
      <c r="Q56" s="15">
        <f t="shared" si="17"/>
        <v>90</v>
      </c>
      <c r="R56" s="16">
        <f t="shared" si="15"/>
        <v>-90</v>
      </c>
    </row>
    <row r="57" spans="2:18">
      <c r="B57" s="9">
        <v>79432.823472428237</v>
      </c>
      <c r="C57" s="15">
        <f t="shared" ref="C57:H69" si="18">IF(OR(ISNUMBER(C$4),ISNUMBER(C$5)),IF(ISNUMBER(C$4),IF($B57&gt;C$4,C56-2,C56),IF($B57&gt;C$5,C56+2,C56)),C56)</f>
        <v>62.162276172922262</v>
      </c>
      <c r="D57" s="15">
        <f t="shared" si="18"/>
        <v>-26</v>
      </c>
      <c r="E57" s="15">
        <f t="shared" si="18"/>
        <v>0</v>
      </c>
      <c r="F57" s="15">
        <f t="shared" si="18"/>
        <v>-60</v>
      </c>
      <c r="G57" s="15">
        <f t="shared" si="18"/>
        <v>0</v>
      </c>
      <c r="H57" s="15">
        <f t="shared" si="18"/>
        <v>24</v>
      </c>
      <c r="I57" s="20">
        <f t="shared" si="13"/>
        <v>0.16227617292226171</v>
      </c>
      <c r="J57" s="3" t="str">
        <f t="shared" si="14"/>
        <v>0</v>
      </c>
      <c r="K57" s="9">
        <v>79432.823472428237</v>
      </c>
      <c r="L57" s="15">
        <f t="shared" ref="L57:Q69" si="19">IF(OR(ISNUMBER(L$4),ISNUMBER(L$5)),IF(ISNUMBER(L$4),IF(AND($B57&gt;L$4/10,$B57&lt;L$4*10),L56-4.5,L56),IF(AND($B57&gt;L$5/10,$B57&lt;L$5*10),L56+4.5,L56)),L56)</f>
        <v>0</v>
      </c>
      <c r="M57" s="15">
        <f t="shared" si="19"/>
        <v>-90</v>
      </c>
      <c r="N57" s="15">
        <f t="shared" si="19"/>
        <v>0</v>
      </c>
      <c r="O57" s="15">
        <f t="shared" si="19"/>
        <v>-90</v>
      </c>
      <c r="P57" s="15">
        <f t="shared" si="19"/>
        <v>0</v>
      </c>
      <c r="Q57" s="15">
        <f t="shared" si="19"/>
        <v>90</v>
      </c>
      <c r="R57" s="16">
        <f t="shared" si="15"/>
        <v>-90</v>
      </c>
    </row>
    <row r="58" spans="2:18">
      <c r="B58" s="9">
        <v>100000</v>
      </c>
      <c r="C58" s="15">
        <f t="shared" si="18"/>
        <v>62.162276172922262</v>
      </c>
      <c r="D58" s="15">
        <f t="shared" si="18"/>
        <v>-28</v>
      </c>
      <c r="E58" s="15">
        <f t="shared" si="18"/>
        <v>0</v>
      </c>
      <c r="F58" s="15">
        <f t="shared" si="18"/>
        <v>-62</v>
      </c>
      <c r="G58" s="15">
        <f t="shared" si="18"/>
        <v>0</v>
      </c>
      <c r="H58" s="15">
        <f t="shared" si="18"/>
        <v>26</v>
      </c>
      <c r="I58" s="20">
        <f t="shared" si="13"/>
        <v>-1.8377238270777383</v>
      </c>
      <c r="J58" s="3">
        <f t="shared" si="14"/>
        <v>100000</v>
      </c>
      <c r="K58" s="9">
        <v>100000</v>
      </c>
      <c r="L58" s="15">
        <f t="shared" si="19"/>
        <v>0</v>
      </c>
      <c r="M58" s="15">
        <f t="shared" si="19"/>
        <v>-90</v>
      </c>
      <c r="N58" s="15">
        <f t="shared" si="19"/>
        <v>4.5</v>
      </c>
      <c r="O58" s="15">
        <f t="shared" si="19"/>
        <v>-90</v>
      </c>
      <c r="P58" s="15">
        <f t="shared" si="19"/>
        <v>0</v>
      </c>
      <c r="Q58" s="15">
        <f t="shared" si="19"/>
        <v>90</v>
      </c>
      <c r="R58" s="16">
        <f t="shared" si="15"/>
        <v>-85.5</v>
      </c>
    </row>
    <row r="59" spans="2:18">
      <c r="B59" s="9">
        <v>125892.54117941708</v>
      </c>
      <c r="C59" s="15">
        <f t="shared" si="18"/>
        <v>62.162276172922262</v>
      </c>
      <c r="D59" s="15">
        <f t="shared" si="18"/>
        <v>-30</v>
      </c>
      <c r="E59" s="15">
        <f t="shared" si="18"/>
        <v>0</v>
      </c>
      <c r="F59" s="15">
        <f t="shared" si="18"/>
        <v>-64</v>
      </c>
      <c r="G59" s="15">
        <f t="shared" si="18"/>
        <v>0</v>
      </c>
      <c r="H59" s="15">
        <f t="shared" si="18"/>
        <v>28</v>
      </c>
      <c r="I59" s="20">
        <f t="shared" si="13"/>
        <v>-3.8377238270777383</v>
      </c>
      <c r="J59" s="3" t="str">
        <f t="shared" si="14"/>
        <v>0</v>
      </c>
      <c r="K59" s="9">
        <v>125892.54117941708</v>
      </c>
      <c r="L59" s="15">
        <f t="shared" si="19"/>
        <v>0</v>
      </c>
      <c r="M59" s="15">
        <f t="shared" si="19"/>
        <v>-90</v>
      </c>
      <c r="N59" s="15">
        <f t="shared" si="19"/>
        <v>9</v>
      </c>
      <c r="O59" s="15">
        <f t="shared" si="19"/>
        <v>-90</v>
      </c>
      <c r="P59" s="15">
        <f t="shared" si="19"/>
        <v>0</v>
      </c>
      <c r="Q59" s="15">
        <f t="shared" si="19"/>
        <v>90</v>
      </c>
      <c r="R59" s="16">
        <f t="shared" si="15"/>
        <v>-81</v>
      </c>
    </row>
    <row r="60" spans="2:18">
      <c r="B60" s="9">
        <v>158489.31924611164</v>
      </c>
      <c r="C60" s="15">
        <f t="shared" si="18"/>
        <v>62.162276172922262</v>
      </c>
      <c r="D60" s="15">
        <f t="shared" si="18"/>
        <v>-32</v>
      </c>
      <c r="E60" s="15">
        <f t="shared" si="18"/>
        <v>0</v>
      </c>
      <c r="F60" s="15">
        <f t="shared" si="18"/>
        <v>-66</v>
      </c>
      <c r="G60" s="15">
        <f t="shared" si="18"/>
        <v>0</v>
      </c>
      <c r="H60" s="15">
        <f t="shared" si="18"/>
        <v>30</v>
      </c>
      <c r="I60" s="20">
        <f t="shared" si="13"/>
        <v>-5.8377238270777383</v>
      </c>
      <c r="J60" s="3" t="str">
        <f t="shared" si="14"/>
        <v>0</v>
      </c>
      <c r="K60" s="9">
        <v>158489.31924611164</v>
      </c>
      <c r="L60" s="15">
        <f t="shared" si="19"/>
        <v>0</v>
      </c>
      <c r="M60" s="15">
        <f t="shared" si="19"/>
        <v>-90</v>
      </c>
      <c r="N60" s="15">
        <f t="shared" si="19"/>
        <v>13.5</v>
      </c>
      <c r="O60" s="15">
        <f t="shared" si="19"/>
        <v>-90</v>
      </c>
      <c r="P60" s="15">
        <f t="shared" si="19"/>
        <v>0</v>
      </c>
      <c r="Q60" s="15">
        <f t="shared" si="19"/>
        <v>90</v>
      </c>
      <c r="R60" s="16">
        <f t="shared" si="15"/>
        <v>-76.5</v>
      </c>
    </row>
    <row r="61" spans="2:18">
      <c r="B61" s="9">
        <v>199526.2314968885</v>
      </c>
      <c r="C61" s="15">
        <f t="shared" si="18"/>
        <v>62.162276172922262</v>
      </c>
      <c r="D61" s="15">
        <f t="shared" si="18"/>
        <v>-34</v>
      </c>
      <c r="E61" s="15">
        <f t="shared" si="18"/>
        <v>0</v>
      </c>
      <c r="F61" s="15">
        <f t="shared" si="18"/>
        <v>-68</v>
      </c>
      <c r="G61" s="15">
        <f t="shared" si="18"/>
        <v>0</v>
      </c>
      <c r="H61" s="15">
        <f t="shared" si="18"/>
        <v>32</v>
      </c>
      <c r="I61" s="20">
        <f t="shared" si="13"/>
        <v>-7.8377238270777383</v>
      </c>
      <c r="J61" s="3" t="str">
        <f t="shared" si="14"/>
        <v>0</v>
      </c>
      <c r="K61" s="9">
        <v>199526.2314968885</v>
      </c>
      <c r="L61" s="15">
        <f t="shared" si="19"/>
        <v>0</v>
      </c>
      <c r="M61" s="15">
        <f t="shared" si="19"/>
        <v>-90</v>
      </c>
      <c r="N61" s="15">
        <f t="shared" si="19"/>
        <v>18</v>
      </c>
      <c r="O61" s="15">
        <f t="shared" si="19"/>
        <v>-90</v>
      </c>
      <c r="P61" s="15">
        <f t="shared" si="19"/>
        <v>0</v>
      </c>
      <c r="Q61" s="15">
        <f t="shared" si="19"/>
        <v>90</v>
      </c>
      <c r="R61" s="16">
        <f t="shared" si="15"/>
        <v>-72</v>
      </c>
    </row>
    <row r="62" spans="2:18">
      <c r="B62" s="9">
        <v>251188.64315095844</v>
      </c>
      <c r="C62" s="15">
        <f t="shared" si="18"/>
        <v>62.162276172922262</v>
      </c>
      <c r="D62" s="15">
        <f t="shared" si="18"/>
        <v>-36</v>
      </c>
      <c r="E62" s="15">
        <f t="shared" si="18"/>
        <v>0</v>
      </c>
      <c r="F62" s="15">
        <f t="shared" si="18"/>
        <v>-70</v>
      </c>
      <c r="G62" s="15">
        <f t="shared" si="18"/>
        <v>0</v>
      </c>
      <c r="H62" s="15">
        <f t="shared" si="18"/>
        <v>34</v>
      </c>
      <c r="I62" s="20">
        <f t="shared" si="13"/>
        <v>-9.8377238270777383</v>
      </c>
      <c r="J62" s="3" t="str">
        <f t="shared" si="14"/>
        <v>0</v>
      </c>
      <c r="K62" s="9">
        <v>251188.64315095844</v>
      </c>
      <c r="L62" s="15">
        <f t="shared" si="19"/>
        <v>0</v>
      </c>
      <c r="M62" s="15">
        <f t="shared" si="19"/>
        <v>-90</v>
      </c>
      <c r="N62" s="15">
        <f t="shared" si="19"/>
        <v>22.5</v>
      </c>
      <c r="O62" s="15">
        <f t="shared" si="19"/>
        <v>-90</v>
      </c>
      <c r="P62" s="15">
        <f t="shared" si="19"/>
        <v>0</v>
      </c>
      <c r="Q62" s="15">
        <f t="shared" si="19"/>
        <v>90</v>
      </c>
      <c r="R62" s="16">
        <f t="shared" si="15"/>
        <v>-67.5</v>
      </c>
    </row>
    <row r="63" spans="2:18">
      <c r="B63" s="9">
        <v>316227.7660168382</v>
      </c>
      <c r="C63" s="15">
        <f t="shared" si="18"/>
        <v>62.162276172922262</v>
      </c>
      <c r="D63" s="15">
        <f t="shared" si="18"/>
        <v>-38</v>
      </c>
      <c r="E63" s="15">
        <f t="shared" si="18"/>
        <v>0</v>
      </c>
      <c r="F63" s="15">
        <f t="shared" si="18"/>
        <v>-72</v>
      </c>
      <c r="G63" s="15">
        <f t="shared" si="18"/>
        <v>0</v>
      </c>
      <c r="H63" s="15">
        <f t="shared" si="18"/>
        <v>36</v>
      </c>
      <c r="I63" s="20">
        <f t="shared" si="13"/>
        <v>-11.837723827077738</v>
      </c>
      <c r="J63" s="3" t="str">
        <f t="shared" si="14"/>
        <v>0</v>
      </c>
      <c r="K63" s="9">
        <v>316227.7660168382</v>
      </c>
      <c r="L63" s="15">
        <f t="shared" si="19"/>
        <v>0</v>
      </c>
      <c r="M63" s="15">
        <f t="shared" si="19"/>
        <v>-90</v>
      </c>
      <c r="N63" s="15">
        <f t="shared" si="19"/>
        <v>27</v>
      </c>
      <c r="O63" s="15">
        <f t="shared" si="19"/>
        <v>-90</v>
      </c>
      <c r="P63" s="15">
        <f t="shared" si="19"/>
        <v>0</v>
      </c>
      <c r="Q63" s="15">
        <f t="shared" si="19"/>
        <v>90</v>
      </c>
      <c r="R63" s="16">
        <f t="shared" si="15"/>
        <v>-63</v>
      </c>
    </row>
    <row r="64" spans="2:18">
      <c r="B64" s="9">
        <v>398107.17055349785</v>
      </c>
      <c r="C64" s="15">
        <f t="shared" si="18"/>
        <v>62.162276172922262</v>
      </c>
      <c r="D64" s="15">
        <f t="shared" si="18"/>
        <v>-40</v>
      </c>
      <c r="E64" s="15">
        <f t="shared" si="18"/>
        <v>0</v>
      </c>
      <c r="F64" s="15">
        <f t="shared" si="18"/>
        <v>-74</v>
      </c>
      <c r="G64" s="15">
        <f t="shared" si="18"/>
        <v>0</v>
      </c>
      <c r="H64" s="15">
        <f t="shared" si="18"/>
        <v>38</v>
      </c>
      <c r="I64" s="20">
        <f t="shared" si="13"/>
        <v>-13.837723827077738</v>
      </c>
      <c r="J64" s="3" t="str">
        <f t="shared" si="14"/>
        <v>0</v>
      </c>
      <c r="K64" s="9">
        <v>398107.17055349785</v>
      </c>
      <c r="L64" s="15">
        <f t="shared" si="19"/>
        <v>0</v>
      </c>
      <c r="M64" s="15">
        <f t="shared" si="19"/>
        <v>-90</v>
      </c>
      <c r="N64" s="15">
        <f t="shared" si="19"/>
        <v>31.5</v>
      </c>
      <c r="O64" s="15">
        <f t="shared" si="19"/>
        <v>-90</v>
      </c>
      <c r="P64" s="15">
        <f t="shared" si="19"/>
        <v>0</v>
      </c>
      <c r="Q64" s="15">
        <f t="shared" si="19"/>
        <v>90</v>
      </c>
      <c r="R64" s="16">
        <f t="shared" si="15"/>
        <v>-58.5</v>
      </c>
    </row>
    <row r="65" spans="2:18">
      <c r="B65" s="9">
        <v>501187.23362727347</v>
      </c>
      <c r="C65" s="15">
        <f t="shared" si="18"/>
        <v>62.162276172922262</v>
      </c>
      <c r="D65" s="15">
        <f t="shared" si="18"/>
        <v>-42</v>
      </c>
      <c r="E65" s="15">
        <f t="shared" si="18"/>
        <v>0</v>
      </c>
      <c r="F65" s="15">
        <f t="shared" si="18"/>
        <v>-76</v>
      </c>
      <c r="G65" s="15">
        <f t="shared" si="18"/>
        <v>0</v>
      </c>
      <c r="H65" s="15">
        <f t="shared" si="18"/>
        <v>40</v>
      </c>
      <c r="I65" s="20">
        <f t="shared" si="13"/>
        <v>-15.837723827077738</v>
      </c>
      <c r="J65" s="3" t="str">
        <f t="shared" si="14"/>
        <v>0</v>
      </c>
      <c r="K65" s="9">
        <v>501187.23362727347</v>
      </c>
      <c r="L65" s="15">
        <f t="shared" si="19"/>
        <v>0</v>
      </c>
      <c r="M65" s="15">
        <f t="shared" si="19"/>
        <v>-90</v>
      </c>
      <c r="N65" s="15">
        <f t="shared" si="19"/>
        <v>36</v>
      </c>
      <c r="O65" s="15">
        <f t="shared" si="19"/>
        <v>-90</v>
      </c>
      <c r="P65" s="15">
        <f t="shared" si="19"/>
        <v>0</v>
      </c>
      <c r="Q65" s="15">
        <f t="shared" si="19"/>
        <v>90</v>
      </c>
      <c r="R65" s="16">
        <f t="shared" si="15"/>
        <v>-54</v>
      </c>
    </row>
    <row r="66" spans="2:18">
      <c r="B66" s="9">
        <v>630957.34448019532</v>
      </c>
      <c r="C66" s="15">
        <f t="shared" si="18"/>
        <v>62.162276172922262</v>
      </c>
      <c r="D66" s="15">
        <f t="shared" si="18"/>
        <v>-44</v>
      </c>
      <c r="E66" s="15">
        <f t="shared" si="18"/>
        <v>0</v>
      </c>
      <c r="F66" s="15">
        <f t="shared" si="18"/>
        <v>-78</v>
      </c>
      <c r="G66" s="15">
        <f t="shared" si="18"/>
        <v>0</v>
      </c>
      <c r="H66" s="15">
        <f t="shared" si="18"/>
        <v>42</v>
      </c>
      <c r="I66" s="20">
        <f t="shared" si="13"/>
        <v>-17.837723827077738</v>
      </c>
      <c r="J66" s="3" t="str">
        <f t="shared" si="14"/>
        <v>0</v>
      </c>
      <c r="K66" s="9">
        <v>630957.34448019532</v>
      </c>
      <c r="L66" s="15">
        <f t="shared" si="19"/>
        <v>0</v>
      </c>
      <c r="M66" s="15">
        <f t="shared" si="19"/>
        <v>-90</v>
      </c>
      <c r="N66" s="15">
        <f t="shared" si="19"/>
        <v>40.5</v>
      </c>
      <c r="O66" s="15">
        <f t="shared" si="19"/>
        <v>-90</v>
      </c>
      <c r="P66" s="15">
        <f t="shared" si="19"/>
        <v>0</v>
      </c>
      <c r="Q66" s="15">
        <f t="shared" si="19"/>
        <v>90</v>
      </c>
      <c r="R66" s="16">
        <f t="shared" si="15"/>
        <v>-49.5</v>
      </c>
    </row>
    <row r="67" spans="2:18">
      <c r="B67" s="9">
        <v>794328.23472428333</v>
      </c>
      <c r="C67" s="15">
        <f t="shared" si="18"/>
        <v>62.162276172922262</v>
      </c>
      <c r="D67" s="15">
        <f t="shared" si="18"/>
        <v>-46</v>
      </c>
      <c r="E67" s="15">
        <f t="shared" si="18"/>
        <v>0</v>
      </c>
      <c r="F67" s="15">
        <f t="shared" si="18"/>
        <v>-80</v>
      </c>
      <c r="G67" s="15">
        <f t="shared" si="18"/>
        <v>0</v>
      </c>
      <c r="H67" s="15">
        <f t="shared" si="18"/>
        <v>44</v>
      </c>
      <c r="I67" s="20">
        <f t="shared" si="13"/>
        <v>-19.837723827077738</v>
      </c>
      <c r="J67" s="3" t="str">
        <f t="shared" si="14"/>
        <v>0</v>
      </c>
      <c r="K67" s="9">
        <v>794328.23472428333</v>
      </c>
      <c r="L67" s="15">
        <f t="shared" si="19"/>
        <v>0</v>
      </c>
      <c r="M67" s="15">
        <f t="shared" si="19"/>
        <v>-90</v>
      </c>
      <c r="N67" s="15">
        <f t="shared" si="19"/>
        <v>45</v>
      </c>
      <c r="O67" s="15">
        <f t="shared" si="19"/>
        <v>-90</v>
      </c>
      <c r="P67" s="15">
        <f t="shared" si="19"/>
        <v>0</v>
      </c>
      <c r="Q67" s="15">
        <f t="shared" si="19"/>
        <v>90</v>
      </c>
      <c r="R67" s="16">
        <f t="shared" si="15"/>
        <v>-45</v>
      </c>
    </row>
    <row r="68" spans="2:18">
      <c r="B68" s="9">
        <v>1000000</v>
      </c>
      <c r="C68" s="15">
        <f t="shared" si="18"/>
        <v>62.162276172922262</v>
      </c>
      <c r="D68" s="15">
        <f t="shared" si="18"/>
        <v>-48</v>
      </c>
      <c r="E68" s="15">
        <f t="shared" si="18"/>
        <v>2</v>
      </c>
      <c r="F68" s="15">
        <f t="shared" si="18"/>
        <v>-82</v>
      </c>
      <c r="G68" s="15">
        <f t="shared" si="18"/>
        <v>0</v>
      </c>
      <c r="H68" s="15">
        <f t="shared" si="18"/>
        <v>46</v>
      </c>
      <c r="I68" s="20">
        <f t="shared" si="13"/>
        <v>-19.837723827077738</v>
      </c>
      <c r="J68" s="3" t="str">
        <f t="shared" si="14"/>
        <v>0</v>
      </c>
      <c r="K68" s="9">
        <v>1000000</v>
      </c>
      <c r="L68" s="15">
        <f t="shared" si="19"/>
        <v>0</v>
      </c>
      <c r="M68" s="15">
        <f t="shared" si="19"/>
        <v>-90</v>
      </c>
      <c r="N68" s="15">
        <f t="shared" si="19"/>
        <v>49.5</v>
      </c>
      <c r="O68" s="15">
        <f t="shared" si="19"/>
        <v>-90</v>
      </c>
      <c r="P68" s="15">
        <f t="shared" si="19"/>
        <v>0</v>
      </c>
      <c r="Q68" s="15">
        <f t="shared" si="19"/>
        <v>90</v>
      </c>
      <c r="R68" s="16">
        <f t="shared" si="15"/>
        <v>-40.5</v>
      </c>
    </row>
    <row r="69" spans="2:18" ht="15.75" thickBot="1">
      <c r="B69" s="10">
        <v>1258925.4117941698</v>
      </c>
      <c r="C69" s="15">
        <f t="shared" si="18"/>
        <v>62.162276172922262</v>
      </c>
      <c r="D69" s="15">
        <f t="shared" si="18"/>
        <v>-50</v>
      </c>
      <c r="E69" s="15">
        <f t="shared" si="18"/>
        <v>4</v>
      </c>
      <c r="F69" s="15">
        <f t="shared" si="18"/>
        <v>-84</v>
      </c>
      <c r="G69" s="15">
        <f t="shared" si="18"/>
        <v>0</v>
      </c>
      <c r="H69" s="15">
        <f t="shared" si="18"/>
        <v>48</v>
      </c>
      <c r="I69" s="21">
        <f t="shared" si="13"/>
        <v>-19.837723827077738</v>
      </c>
      <c r="J69" s="3" t="str">
        <f t="shared" si="14"/>
        <v>0</v>
      </c>
      <c r="K69" s="10">
        <v>1258925.4117941698</v>
      </c>
      <c r="L69" s="15">
        <f t="shared" si="19"/>
        <v>0</v>
      </c>
      <c r="M69" s="15">
        <f t="shared" si="19"/>
        <v>-90</v>
      </c>
      <c r="N69" s="15">
        <f t="shared" si="19"/>
        <v>54</v>
      </c>
      <c r="O69" s="15">
        <f t="shared" si="19"/>
        <v>-90</v>
      </c>
      <c r="P69" s="15">
        <f t="shared" si="19"/>
        <v>0</v>
      </c>
      <c r="Q69" s="15">
        <f t="shared" si="19"/>
        <v>90</v>
      </c>
      <c r="R69" s="17">
        <f t="shared" si="15"/>
        <v>-36</v>
      </c>
    </row>
  </sheetData>
  <sheetProtection password="CB4D" sheet="1" objects="1" scenarios="1"/>
  <pageMargins left="0.7" right="0.7" top="0.75" bottom="0.75" header="0.3" footer="0.3"/>
  <pageSetup scale="71" fitToHeight="1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R43"/>
  <sheetViews>
    <sheetView zoomScale="80" zoomScaleNormal="80" workbookViewId="0">
      <selection activeCell="L2" sqref="L2"/>
    </sheetView>
  </sheetViews>
  <sheetFormatPr defaultRowHeight="15"/>
  <cols>
    <col min="1" max="1" width="3.140625" style="58" customWidth="1"/>
    <col min="2" max="2" width="12.7109375" style="58" customWidth="1"/>
    <col min="3" max="3" width="9.5703125" style="58" customWidth="1"/>
    <col min="4" max="4" width="5.7109375" style="59" customWidth="1"/>
    <col min="5" max="5" width="2.5703125" style="58" customWidth="1"/>
    <col min="6" max="16" width="9.140625" style="58"/>
    <col min="17" max="17" width="9.5703125" style="58" customWidth="1"/>
    <col min="18" max="16384" width="9.140625" style="58"/>
  </cols>
  <sheetData>
    <row r="1" spans="1:18" ht="23.25">
      <c r="A1" s="65"/>
      <c r="B1" s="65"/>
      <c r="C1" s="65"/>
      <c r="D1" s="66"/>
      <c r="E1" s="65"/>
      <c r="F1" s="67" t="s">
        <v>67</v>
      </c>
      <c r="G1" s="65"/>
      <c r="H1" s="65"/>
      <c r="I1" s="65"/>
      <c r="J1" s="65"/>
      <c r="K1" s="65"/>
      <c r="L1" s="65"/>
      <c r="M1" s="65"/>
      <c r="N1" s="65"/>
      <c r="O1" s="65"/>
      <c r="P1" s="65"/>
      <c r="Q1" s="65"/>
    </row>
    <row r="2" spans="1:18">
      <c r="A2" s="65"/>
      <c r="B2" s="68" t="s">
        <v>64</v>
      </c>
      <c r="C2" s="65"/>
      <c r="D2" s="66"/>
      <c r="E2" s="65"/>
      <c r="F2" s="65" t="s">
        <v>71</v>
      </c>
      <c r="G2" s="65"/>
      <c r="H2" s="65"/>
      <c r="I2" s="65"/>
      <c r="J2" s="65"/>
      <c r="K2" s="65"/>
      <c r="L2" s="65"/>
      <c r="M2" s="65"/>
      <c r="N2" s="65"/>
      <c r="O2" s="65"/>
      <c r="P2" s="65"/>
      <c r="Q2" s="65"/>
    </row>
    <row r="3" spans="1:18">
      <c r="A3" s="65"/>
      <c r="B3" s="71" t="s">
        <v>61</v>
      </c>
      <c r="C3" s="61">
        <v>7665</v>
      </c>
      <c r="D3" s="70"/>
      <c r="E3" s="81"/>
      <c r="F3" s="68" t="s">
        <v>69</v>
      </c>
      <c r="G3" s="74"/>
      <c r="H3" s="65"/>
      <c r="I3" s="65"/>
      <c r="J3" s="65"/>
      <c r="K3" s="65"/>
      <c r="L3" s="65"/>
      <c r="M3" s="65"/>
      <c r="N3" s="65"/>
      <c r="O3" s="65"/>
      <c r="P3" s="65"/>
      <c r="Q3" s="65"/>
    </row>
    <row r="4" spans="1:18">
      <c r="A4" s="65"/>
      <c r="B4" s="71" t="s">
        <v>27</v>
      </c>
      <c r="C4" s="61">
        <v>30</v>
      </c>
      <c r="D4" s="70" t="s">
        <v>25</v>
      </c>
      <c r="E4" s="81"/>
      <c r="F4" s="65"/>
      <c r="G4" s="74"/>
      <c r="H4" s="65"/>
      <c r="I4" s="65"/>
      <c r="J4" s="65"/>
      <c r="K4" s="65"/>
      <c r="L4" s="65"/>
      <c r="M4" s="65"/>
      <c r="N4" s="65"/>
      <c r="O4" s="65"/>
      <c r="P4" s="65"/>
      <c r="Q4" s="65"/>
      <c r="R4" s="60"/>
    </row>
    <row r="5" spans="1:18">
      <c r="A5" s="65"/>
      <c r="B5" s="71" t="s">
        <v>70</v>
      </c>
      <c r="C5" s="61">
        <v>12</v>
      </c>
      <c r="D5" s="70" t="s">
        <v>15</v>
      </c>
      <c r="E5" s="81"/>
      <c r="F5" s="65"/>
      <c r="G5" s="74"/>
      <c r="H5" s="65"/>
      <c r="I5" s="65"/>
      <c r="J5" s="65"/>
      <c r="K5" s="65"/>
      <c r="L5" s="65"/>
      <c r="M5" s="65"/>
      <c r="N5" s="65"/>
      <c r="O5" s="65"/>
      <c r="P5" s="65"/>
      <c r="Q5" s="65"/>
    </row>
    <row r="6" spans="1:18">
      <c r="A6" s="65"/>
      <c r="B6" s="71" t="s">
        <v>11</v>
      </c>
      <c r="C6" s="61">
        <v>5</v>
      </c>
      <c r="D6" s="70" t="s">
        <v>15</v>
      </c>
      <c r="E6" s="81"/>
      <c r="F6" s="65"/>
      <c r="G6" s="74"/>
      <c r="H6" s="65"/>
      <c r="I6" s="65"/>
      <c r="J6" s="65"/>
      <c r="K6" s="65"/>
      <c r="L6" s="65"/>
      <c r="M6" s="65"/>
      <c r="N6" s="65"/>
      <c r="O6" s="65"/>
      <c r="P6" s="65"/>
      <c r="Q6" s="65"/>
    </row>
    <row r="7" spans="1:18">
      <c r="A7" s="65"/>
      <c r="B7" s="71" t="s">
        <v>28</v>
      </c>
      <c r="C7" s="61">
        <v>1.5</v>
      </c>
      <c r="D7" s="70" t="s">
        <v>13</v>
      </c>
      <c r="E7" s="81"/>
      <c r="F7" s="65"/>
      <c r="G7" s="74"/>
      <c r="H7" s="65"/>
      <c r="I7" s="65"/>
      <c r="J7" s="65"/>
      <c r="K7" s="65"/>
      <c r="L7" s="65"/>
      <c r="M7" s="65"/>
      <c r="N7" s="65"/>
      <c r="O7" s="65"/>
      <c r="P7" s="65"/>
      <c r="Q7" s="65"/>
    </row>
    <row r="8" spans="1:18">
      <c r="A8" s="65"/>
      <c r="B8" s="71" t="s">
        <v>17</v>
      </c>
      <c r="C8" s="61">
        <v>10</v>
      </c>
      <c r="D8" s="70" t="s">
        <v>19</v>
      </c>
      <c r="E8" s="82"/>
      <c r="F8" s="65"/>
      <c r="G8" s="74"/>
      <c r="H8" s="65"/>
      <c r="I8" s="65"/>
      <c r="J8" s="65"/>
      <c r="K8" s="65"/>
      <c r="L8" s="65"/>
      <c r="M8" s="65"/>
      <c r="N8" s="65"/>
      <c r="O8" s="65"/>
      <c r="P8" s="65"/>
      <c r="Q8" s="65"/>
    </row>
    <row r="9" spans="1:18">
      <c r="A9" s="65"/>
      <c r="B9" s="71" t="s">
        <v>29</v>
      </c>
      <c r="C9" s="61">
        <v>15</v>
      </c>
      <c r="D9" s="72" t="s">
        <v>45</v>
      </c>
      <c r="E9" s="65"/>
      <c r="F9" s="65"/>
      <c r="G9" s="74"/>
      <c r="H9" s="65"/>
      <c r="I9" s="65"/>
      <c r="J9" s="65"/>
      <c r="K9" s="65"/>
      <c r="L9" s="65"/>
      <c r="M9" s="65"/>
      <c r="N9" s="65"/>
      <c r="O9" s="65"/>
      <c r="P9" s="65"/>
      <c r="Q9" s="65"/>
    </row>
    <row r="10" spans="1:18">
      <c r="A10" s="65"/>
      <c r="B10" s="65"/>
      <c r="C10" s="65"/>
      <c r="D10" s="66"/>
      <c r="E10" s="65"/>
      <c r="F10" s="65"/>
      <c r="G10" s="74"/>
      <c r="H10" s="65"/>
      <c r="I10" s="65"/>
      <c r="J10" s="65"/>
      <c r="K10" s="65"/>
      <c r="L10" s="65"/>
      <c r="M10" s="65"/>
      <c r="N10" s="65"/>
      <c r="O10" s="65"/>
      <c r="P10" s="65"/>
      <c r="Q10" s="65"/>
    </row>
    <row r="11" spans="1:18" ht="15.75" thickBot="1">
      <c r="A11" s="65"/>
      <c r="B11" s="86" t="s">
        <v>66</v>
      </c>
      <c r="C11" s="65"/>
      <c r="D11" s="66"/>
      <c r="E11" s="82"/>
      <c r="F11" s="65"/>
      <c r="G11" s="65"/>
      <c r="H11" s="65"/>
      <c r="I11" s="65"/>
      <c r="J11" s="65"/>
      <c r="K11" s="65"/>
      <c r="L11" s="65"/>
      <c r="M11" s="65"/>
      <c r="N11" s="65"/>
      <c r="O11" s="65"/>
      <c r="P11" s="65"/>
      <c r="Q11" s="65"/>
    </row>
    <row r="12" spans="1:18">
      <c r="A12" s="65"/>
      <c r="B12" s="87" t="s">
        <v>46</v>
      </c>
      <c r="C12" s="88">
        <f>Rlim_*FPea1_/(Fzea_-FPea1_)</f>
        <v>2.4724542221165868</v>
      </c>
      <c r="D12" s="83" t="s">
        <v>68</v>
      </c>
      <c r="E12" s="81"/>
      <c r="F12" s="65"/>
      <c r="G12" s="65"/>
      <c r="H12" s="65"/>
      <c r="I12" s="65"/>
      <c r="J12" s="65"/>
      <c r="K12" s="65"/>
      <c r="L12" s="65"/>
      <c r="M12" s="65"/>
      <c r="N12" s="65"/>
      <c r="O12" s="65"/>
      <c r="P12" s="65"/>
      <c r="Q12" s="65"/>
    </row>
    <row r="13" spans="1:18">
      <c r="A13" s="65"/>
      <c r="B13" s="89" t="s">
        <v>47</v>
      </c>
      <c r="C13" s="79">
        <f>1000000000/(2*PI()*Fzea_*(RCx_*1000))</f>
        <v>13.542549355946965</v>
      </c>
      <c r="D13" s="84" t="s">
        <v>20</v>
      </c>
      <c r="E13" s="81"/>
      <c r="F13" s="65"/>
      <c r="G13" s="65"/>
      <c r="H13" s="65"/>
      <c r="I13" s="65"/>
      <c r="J13" s="65"/>
      <c r="K13" s="65"/>
      <c r="L13" s="65"/>
      <c r="M13" s="65"/>
      <c r="N13" s="65"/>
      <c r="O13" s="65"/>
      <c r="P13" s="65"/>
      <c r="Q13" s="65"/>
    </row>
    <row r="14" spans="1:18" ht="15.75" thickBot="1">
      <c r="A14" s="65"/>
      <c r="B14" s="90" t="s">
        <v>48</v>
      </c>
      <c r="C14" s="91">
        <f>1000000000000*(RCx_*1000+Rlim_*1000)/(2*PI()*(FPea2_*1000)*(RCx_*1000)*(Rlim_*1000))</f>
        <v>60.968464013699666</v>
      </c>
      <c r="D14" s="85" t="s">
        <v>21</v>
      </c>
      <c r="E14" s="65"/>
      <c r="F14" s="65"/>
      <c r="G14" s="65"/>
      <c r="H14" s="65"/>
      <c r="I14" s="65"/>
      <c r="J14" s="65"/>
      <c r="K14" s="65"/>
      <c r="L14" s="65"/>
      <c r="M14" s="65"/>
      <c r="N14" s="65"/>
      <c r="O14" s="65"/>
      <c r="P14" s="65"/>
      <c r="Q14" s="65"/>
    </row>
    <row r="15" spans="1:18">
      <c r="A15" s="65"/>
      <c r="B15" s="65"/>
      <c r="C15" s="65"/>
      <c r="D15" s="66"/>
      <c r="E15" s="65"/>
      <c r="F15" s="65"/>
      <c r="G15" s="65"/>
      <c r="H15" s="65"/>
      <c r="I15" s="65"/>
      <c r="J15" s="65"/>
      <c r="K15" s="65"/>
      <c r="L15" s="65"/>
      <c r="M15" s="65"/>
      <c r="N15" s="65"/>
      <c r="O15" s="65"/>
      <c r="P15" s="65"/>
      <c r="Q15" s="65"/>
    </row>
    <row r="16" spans="1:18">
      <c r="A16" s="65"/>
      <c r="B16" s="68" t="s">
        <v>65</v>
      </c>
      <c r="C16" s="65"/>
      <c r="D16" s="66"/>
      <c r="E16" s="81"/>
      <c r="F16" s="65"/>
      <c r="G16" s="65"/>
      <c r="H16" s="65"/>
      <c r="I16" s="65"/>
      <c r="J16" s="65"/>
      <c r="K16" s="65"/>
      <c r="L16" s="65"/>
      <c r="M16" s="65"/>
      <c r="N16" s="65"/>
      <c r="O16" s="65"/>
      <c r="P16" s="65"/>
      <c r="Q16" s="65"/>
    </row>
    <row r="17" spans="1:17">
      <c r="A17" s="65"/>
      <c r="B17" s="71" t="s">
        <v>33</v>
      </c>
      <c r="C17" s="75">
        <f>VLOOKUP(C3,B37:C40,2)</f>
        <v>5.2</v>
      </c>
      <c r="D17" s="70" t="s">
        <v>24</v>
      </c>
      <c r="E17" s="82"/>
      <c r="F17" s="65"/>
      <c r="G17" s="65"/>
      <c r="H17" s="65"/>
      <c r="I17" s="65"/>
      <c r="J17" s="65"/>
      <c r="K17" s="65"/>
      <c r="L17" s="65"/>
      <c r="M17" s="65"/>
      <c r="N17" s="65"/>
      <c r="O17" s="65"/>
      <c r="P17" s="65"/>
      <c r="Q17" s="65"/>
    </row>
    <row r="18" spans="1:17">
      <c r="A18" s="65"/>
      <c r="B18" s="71" t="s">
        <v>30</v>
      </c>
      <c r="C18" s="75">
        <v>500</v>
      </c>
      <c r="D18" s="72" t="s">
        <v>54</v>
      </c>
      <c r="E18" s="81"/>
      <c r="F18" s="65"/>
      <c r="G18" s="65"/>
      <c r="H18" s="65"/>
      <c r="I18" s="65"/>
      <c r="J18" s="65"/>
      <c r="K18" s="65"/>
      <c r="L18" s="65"/>
      <c r="M18" s="65"/>
      <c r="N18" s="65"/>
      <c r="O18" s="65"/>
      <c r="P18" s="65"/>
      <c r="Q18" s="65"/>
    </row>
    <row r="19" spans="1:17">
      <c r="A19" s="65"/>
      <c r="B19" s="71" t="s">
        <v>31</v>
      </c>
      <c r="C19" s="75">
        <v>800</v>
      </c>
      <c r="D19" s="70" t="s">
        <v>23</v>
      </c>
      <c r="E19" s="81"/>
      <c r="F19" s="65"/>
      <c r="G19" s="65"/>
      <c r="H19" s="65"/>
      <c r="I19" s="65"/>
      <c r="J19" s="65"/>
      <c r="K19" s="65"/>
      <c r="L19" s="65"/>
      <c r="M19" s="65"/>
      <c r="N19" s="65"/>
      <c r="O19" s="65"/>
      <c r="P19" s="65"/>
      <c r="Q19" s="65"/>
    </row>
    <row r="20" spans="1:17">
      <c r="A20" s="65"/>
      <c r="B20" s="71" t="s">
        <v>32</v>
      </c>
      <c r="C20" s="75">
        <v>400</v>
      </c>
      <c r="D20" s="70" t="s">
        <v>22</v>
      </c>
      <c r="E20" s="81"/>
      <c r="F20" s="65"/>
      <c r="G20" s="65"/>
      <c r="H20" s="65"/>
      <c r="I20" s="65"/>
      <c r="J20" s="65"/>
      <c r="K20" s="65"/>
      <c r="L20" s="65"/>
      <c r="M20" s="65"/>
      <c r="N20" s="65"/>
      <c r="O20" s="65"/>
      <c r="P20" s="65"/>
      <c r="Q20" s="65"/>
    </row>
    <row r="21" spans="1:17">
      <c r="A21" s="65"/>
      <c r="B21" s="71" t="s">
        <v>12</v>
      </c>
      <c r="C21" s="75">
        <v>0.92500000000000004</v>
      </c>
      <c r="D21" s="70" t="s">
        <v>15</v>
      </c>
      <c r="E21" s="65"/>
      <c r="F21" s="65"/>
      <c r="G21" s="65"/>
      <c r="H21" s="65"/>
      <c r="I21" s="65"/>
      <c r="J21" s="65"/>
      <c r="K21" s="65"/>
      <c r="L21" s="65"/>
      <c r="M21" s="65"/>
      <c r="N21" s="65"/>
      <c r="O21" s="65"/>
      <c r="P21" s="65"/>
      <c r="Q21" s="65"/>
    </row>
    <row r="22" spans="1:17">
      <c r="A22" s="65"/>
      <c r="B22" s="65"/>
      <c r="C22" s="65"/>
      <c r="D22" s="66"/>
      <c r="E22" s="65"/>
      <c r="F22" s="65"/>
      <c r="G22" s="65"/>
      <c r="H22" s="65"/>
      <c r="I22" s="65"/>
      <c r="J22" s="65"/>
      <c r="K22" s="65"/>
      <c r="L22" s="65"/>
      <c r="M22" s="65"/>
      <c r="N22" s="65"/>
      <c r="O22" s="65"/>
      <c r="P22" s="65"/>
      <c r="Q22" s="65"/>
    </row>
    <row r="23" spans="1:17">
      <c r="A23" s="65"/>
      <c r="B23" s="68" t="s">
        <v>56</v>
      </c>
      <c r="C23" s="65"/>
      <c r="D23" s="66"/>
      <c r="E23" s="81"/>
      <c r="F23" s="65"/>
      <c r="G23" s="65"/>
      <c r="H23" s="65"/>
      <c r="I23" s="65"/>
      <c r="J23" s="65"/>
      <c r="K23" s="65"/>
      <c r="L23" s="65"/>
      <c r="M23" s="65"/>
      <c r="N23" s="65"/>
      <c r="O23" s="65"/>
      <c r="P23" s="65"/>
      <c r="Q23" s="65"/>
    </row>
    <row r="24" spans="1:17">
      <c r="A24" s="65"/>
      <c r="B24" s="71" t="s">
        <v>34</v>
      </c>
      <c r="C24" s="76">
        <f>Vref_/Vout_</f>
        <v>0.185</v>
      </c>
      <c r="D24" s="70" t="s">
        <v>22</v>
      </c>
      <c r="E24" s="82"/>
      <c r="F24" s="65"/>
      <c r="G24" s="65"/>
      <c r="H24" s="65"/>
      <c r="I24" s="65"/>
      <c r="J24" s="65"/>
      <c r="K24" s="65"/>
      <c r="L24" s="65"/>
      <c r="M24" s="65"/>
      <c r="N24" s="65"/>
      <c r="O24" s="65"/>
      <c r="P24" s="65"/>
      <c r="Q24" s="65"/>
    </row>
    <row r="25" spans="1:17">
      <c r="A25" s="65"/>
      <c r="B25" s="71" t="s">
        <v>35</v>
      </c>
      <c r="C25" s="76">
        <f>Vout_/Iomax_</f>
        <v>3.3333333333333335</v>
      </c>
      <c r="D25" s="72" t="s">
        <v>14</v>
      </c>
      <c r="E25" s="81"/>
      <c r="F25" s="65"/>
      <c r="G25" s="65"/>
      <c r="H25" s="65"/>
      <c r="I25" s="65"/>
      <c r="J25" s="65"/>
      <c r="K25" s="65"/>
      <c r="L25" s="65"/>
      <c r="M25" s="65"/>
      <c r="N25" s="65"/>
      <c r="O25" s="65"/>
      <c r="P25" s="65"/>
      <c r="Q25" s="65"/>
    </row>
    <row r="26" spans="1:17">
      <c r="A26" s="65"/>
      <c r="B26" s="71" t="s">
        <v>37</v>
      </c>
      <c r="C26" s="76">
        <f>AImod_*Rld_</f>
        <v>17.333333333333336</v>
      </c>
      <c r="D26" s="70" t="s">
        <v>22</v>
      </c>
      <c r="E26" s="81"/>
      <c r="F26" s="65"/>
      <c r="G26" s="65"/>
      <c r="H26" s="65"/>
      <c r="I26" s="65"/>
      <c r="J26" s="65"/>
      <c r="K26" s="65"/>
      <c r="L26" s="65"/>
      <c r="M26" s="65"/>
      <c r="N26" s="65"/>
      <c r="O26" s="65"/>
      <c r="P26" s="65"/>
      <c r="Q26" s="65"/>
    </row>
    <row r="27" spans="1:17">
      <c r="A27" s="65"/>
      <c r="B27" s="71" t="s">
        <v>36</v>
      </c>
      <c r="C27" s="78">
        <f>AVdiv_*AVea_*AVmodDC_</f>
        <v>1282.6666666666667</v>
      </c>
      <c r="D27" s="70" t="s">
        <v>22</v>
      </c>
      <c r="E27" s="81"/>
      <c r="F27" s="65"/>
      <c r="G27" s="65"/>
      <c r="H27" s="65"/>
      <c r="I27" s="65"/>
      <c r="J27" s="65"/>
      <c r="K27" s="65"/>
      <c r="L27" s="65"/>
      <c r="M27" s="65"/>
      <c r="N27" s="65"/>
      <c r="O27" s="65"/>
      <c r="P27" s="65"/>
      <c r="Q27" s="65"/>
    </row>
    <row r="28" spans="1:17">
      <c r="A28" s="65"/>
      <c r="B28" s="71" t="s">
        <v>38</v>
      </c>
      <c r="C28" s="78">
        <f>20*LOG(C27)</f>
        <v>62.162276172922262</v>
      </c>
      <c r="D28" s="70" t="s">
        <v>7</v>
      </c>
      <c r="E28" s="81"/>
      <c r="F28" s="65"/>
      <c r="G28" s="65"/>
      <c r="H28" s="65"/>
      <c r="I28" s="65"/>
      <c r="J28" s="65"/>
      <c r="K28" s="65"/>
      <c r="L28" s="65"/>
      <c r="M28" s="65"/>
      <c r="N28" s="65"/>
      <c r="O28" s="65"/>
      <c r="P28" s="65"/>
      <c r="Q28" s="65"/>
    </row>
    <row r="29" spans="1:17">
      <c r="A29" s="65"/>
      <c r="B29" s="71" t="s">
        <v>39</v>
      </c>
      <c r="C29" s="78">
        <f>(Fco_*1000)/AVtotDC_</f>
        <v>23.388773388773387</v>
      </c>
      <c r="D29" s="70" t="s">
        <v>2</v>
      </c>
      <c r="E29" s="81"/>
      <c r="F29" s="65"/>
      <c r="G29" s="65"/>
      <c r="H29" s="65"/>
      <c r="I29" s="65"/>
      <c r="J29" s="65"/>
      <c r="K29" s="65"/>
      <c r="L29" s="65"/>
      <c r="M29" s="65"/>
      <c r="N29" s="65"/>
      <c r="O29" s="65"/>
      <c r="P29" s="65"/>
      <c r="Q29" s="65"/>
    </row>
    <row r="30" spans="1:17">
      <c r="A30" s="65"/>
      <c r="B30" s="71" t="s">
        <v>41</v>
      </c>
      <c r="C30" s="78">
        <f>1/(2*PI()*(Co_*0.000001)*((ESR_*0.001)+Rld_))</f>
        <v>4753.2586289266901</v>
      </c>
      <c r="D30" s="70" t="s">
        <v>2</v>
      </c>
      <c r="E30" s="81"/>
      <c r="F30" s="65"/>
      <c r="G30" s="65"/>
      <c r="H30" s="65"/>
      <c r="I30" s="65"/>
      <c r="J30" s="65"/>
      <c r="K30" s="65"/>
      <c r="L30" s="65"/>
      <c r="M30" s="65"/>
      <c r="N30" s="65"/>
      <c r="O30" s="65"/>
      <c r="P30" s="65"/>
      <c r="Q30" s="65"/>
    </row>
    <row r="31" spans="1:17">
      <c r="A31" s="65"/>
      <c r="B31" s="71" t="s">
        <v>40</v>
      </c>
      <c r="C31" s="78">
        <f>0.001/(2*PI()*(Co_*0.000001)*(ESR_*0.001))</f>
        <v>1061.0329539459692</v>
      </c>
      <c r="D31" s="70" t="s">
        <v>25</v>
      </c>
      <c r="E31" s="81"/>
      <c r="F31" s="65"/>
      <c r="G31" s="65"/>
      <c r="H31" s="65"/>
      <c r="I31" s="65"/>
      <c r="J31" s="65"/>
      <c r="K31" s="65"/>
      <c r="L31" s="65"/>
      <c r="M31" s="65"/>
      <c r="N31" s="65"/>
      <c r="O31" s="65"/>
      <c r="P31" s="65"/>
      <c r="Q31" s="65"/>
    </row>
    <row r="32" spans="1:17">
      <c r="A32" s="65"/>
      <c r="B32" s="71" t="s">
        <v>42</v>
      </c>
      <c r="C32" s="78">
        <f>Fpco_</f>
        <v>23.388773388773387</v>
      </c>
      <c r="D32" s="70" t="s">
        <v>2</v>
      </c>
      <c r="E32" s="81"/>
      <c r="F32" s="65"/>
      <c r="G32" s="65"/>
      <c r="H32" s="65"/>
      <c r="I32" s="65"/>
      <c r="J32" s="65"/>
      <c r="K32" s="65"/>
      <c r="L32" s="65"/>
      <c r="M32" s="65"/>
      <c r="N32" s="65"/>
      <c r="O32" s="65"/>
      <c r="P32" s="65"/>
      <c r="Q32" s="65"/>
    </row>
    <row r="33" spans="1:17">
      <c r="A33" s="65"/>
      <c r="B33" s="71" t="s">
        <v>43</v>
      </c>
      <c r="C33" s="78">
        <f>Fzo_</f>
        <v>1061.0329539459692</v>
      </c>
      <c r="D33" s="70" t="s">
        <v>25</v>
      </c>
      <c r="E33" s="81"/>
      <c r="F33" s="65"/>
      <c r="G33" s="65"/>
      <c r="H33" s="65"/>
      <c r="I33" s="65"/>
      <c r="J33" s="65"/>
      <c r="K33" s="65"/>
      <c r="L33" s="65"/>
      <c r="M33" s="65"/>
      <c r="N33" s="65"/>
      <c r="O33" s="65"/>
      <c r="P33" s="65"/>
      <c r="Q33" s="65"/>
    </row>
    <row r="34" spans="1:17">
      <c r="A34" s="65"/>
      <c r="B34" s="71" t="s">
        <v>44</v>
      </c>
      <c r="C34" s="78">
        <f>FPo_</f>
        <v>4753.2586289266901</v>
      </c>
      <c r="D34" s="70" t="s">
        <v>2</v>
      </c>
      <c r="E34" s="65"/>
      <c r="F34" s="65"/>
      <c r="G34" s="65"/>
      <c r="H34" s="65"/>
      <c r="I34" s="65"/>
      <c r="J34" s="65"/>
      <c r="K34" s="65"/>
      <c r="L34" s="65"/>
      <c r="M34" s="65"/>
      <c r="N34" s="65"/>
      <c r="O34" s="65"/>
      <c r="P34" s="65"/>
      <c r="Q34" s="65"/>
    </row>
    <row r="35" spans="1:17">
      <c r="A35" s="65"/>
      <c r="B35" s="65"/>
      <c r="C35" s="65"/>
      <c r="D35" s="66"/>
      <c r="E35" s="65"/>
      <c r="F35" s="65"/>
      <c r="G35" s="65"/>
      <c r="H35" s="65"/>
      <c r="I35" s="65"/>
      <c r="J35" s="65"/>
      <c r="K35" s="65"/>
      <c r="L35" s="65"/>
      <c r="M35" s="65"/>
      <c r="N35" s="65"/>
      <c r="O35" s="65"/>
      <c r="P35" s="65"/>
      <c r="Q35" s="65"/>
    </row>
    <row r="36" spans="1:17">
      <c r="A36" s="65"/>
      <c r="B36" s="68" t="s">
        <v>58</v>
      </c>
      <c r="C36" s="80"/>
      <c r="D36" s="66"/>
      <c r="E36" s="65"/>
      <c r="F36" s="65"/>
      <c r="G36" s="65"/>
      <c r="H36" s="65"/>
      <c r="I36" s="65"/>
      <c r="J36" s="65"/>
      <c r="K36" s="65"/>
      <c r="L36" s="65"/>
      <c r="M36" s="65"/>
      <c r="N36" s="65"/>
      <c r="O36" s="65"/>
      <c r="P36" s="65"/>
      <c r="Q36" s="65"/>
    </row>
    <row r="37" spans="1:17">
      <c r="A37" s="65"/>
      <c r="B37" s="71">
        <v>7664</v>
      </c>
      <c r="C37" s="78">
        <v>3.5</v>
      </c>
      <c r="D37" s="66"/>
      <c r="E37" s="65"/>
      <c r="F37" s="65"/>
      <c r="G37" s="65"/>
      <c r="H37" s="65"/>
      <c r="I37" s="65"/>
      <c r="J37" s="65"/>
      <c r="K37" s="65"/>
      <c r="L37" s="65"/>
      <c r="M37" s="65"/>
      <c r="N37" s="65"/>
      <c r="O37" s="65"/>
      <c r="P37" s="65"/>
      <c r="Q37" s="65"/>
    </row>
    <row r="38" spans="1:17">
      <c r="A38" s="65"/>
      <c r="B38" s="71">
        <v>7665</v>
      </c>
      <c r="C38" s="75">
        <v>5.2</v>
      </c>
      <c r="D38" s="66"/>
      <c r="E38" s="65"/>
      <c r="F38" s="65"/>
      <c r="G38" s="65"/>
      <c r="H38" s="65"/>
      <c r="I38" s="65"/>
      <c r="J38" s="65"/>
      <c r="K38" s="65"/>
      <c r="L38" s="65"/>
      <c r="M38" s="65"/>
      <c r="N38" s="65"/>
      <c r="O38" s="65"/>
      <c r="P38" s="65"/>
      <c r="Q38" s="65"/>
    </row>
    <row r="39" spans="1:17">
      <c r="A39" s="65"/>
      <c r="B39" s="71">
        <v>7674</v>
      </c>
      <c r="C39" s="75">
        <v>3.5</v>
      </c>
      <c r="D39" s="66"/>
      <c r="E39" s="65"/>
      <c r="F39" s="65"/>
      <c r="G39" s="65"/>
      <c r="H39" s="65"/>
      <c r="I39" s="65"/>
      <c r="J39" s="65"/>
      <c r="K39" s="65"/>
      <c r="L39" s="65"/>
      <c r="M39" s="65"/>
      <c r="N39" s="65"/>
      <c r="O39" s="65"/>
      <c r="P39" s="65"/>
      <c r="Q39" s="65"/>
    </row>
    <row r="40" spans="1:17">
      <c r="A40" s="65"/>
      <c r="B40" s="71">
        <v>7675</v>
      </c>
      <c r="C40" s="78">
        <v>5.2</v>
      </c>
      <c r="D40" s="66"/>
      <c r="E40" s="65"/>
      <c r="F40" s="65"/>
      <c r="G40" s="65"/>
      <c r="H40" s="65"/>
      <c r="I40" s="65"/>
      <c r="J40" s="65"/>
      <c r="K40" s="65"/>
      <c r="L40" s="65"/>
      <c r="M40" s="65"/>
      <c r="N40" s="65"/>
      <c r="O40" s="65"/>
      <c r="P40" s="65"/>
      <c r="Q40" s="65"/>
    </row>
    <row r="41" spans="1:17">
      <c r="A41" s="65"/>
      <c r="B41" s="65"/>
      <c r="C41" s="65"/>
      <c r="D41" s="66"/>
      <c r="E41" s="65"/>
      <c r="F41" s="65"/>
      <c r="G41" s="65"/>
      <c r="H41" s="65"/>
      <c r="I41" s="65"/>
      <c r="J41" s="65"/>
      <c r="K41" s="65"/>
      <c r="L41" s="65"/>
      <c r="M41" s="65"/>
      <c r="N41" s="65"/>
      <c r="O41" s="65"/>
      <c r="P41" s="65"/>
      <c r="Q41" s="65"/>
    </row>
    <row r="42" spans="1:17">
      <c r="A42" s="65"/>
      <c r="B42" s="65"/>
      <c r="C42" s="65"/>
      <c r="D42" s="66"/>
      <c r="E42" s="65"/>
      <c r="F42" s="65"/>
      <c r="G42" s="65"/>
      <c r="H42" s="65"/>
      <c r="I42" s="65"/>
      <c r="J42" s="65"/>
      <c r="K42" s="65"/>
      <c r="L42" s="65"/>
      <c r="M42" s="65"/>
      <c r="N42" s="65"/>
      <c r="O42" s="65"/>
      <c r="P42" s="65"/>
      <c r="Q42" s="65"/>
    </row>
    <row r="43" spans="1:17">
      <c r="A43" s="65"/>
      <c r="B43" s="65"/>
      <c r="C43" s="65"/>
      <c r="D43" s="66"/>
      <c r="E43" s="65"/>
      <c r="F43" s="65"/>
      <c r="G43" s="65"/>
      <c r="H43" s="65"/>
      <c r="I43" s="65"/>
      <c r="J43" s="65"/>
      <c r="K43" s="65"/>
      <c r="L43" s="65"/>
      <c r="M43" s="65"/>
      <c r="N43" s="65"/>
      <c r="O43" s="65"/>
      <c r="P43" s="65"/>
      <c r="Q43" s="65"/>
    </row>
  </sheetData>
  <sheetProtection password="CB4D" sheet="1" objects="1" scenarios="1"/>
  <pageMargins left="0.57999999999999996" right="0.57999999999999996" top="0.57999999999999996" bottom="0.52" header="0.3" footer="0.3"/>
  <pageSetup scale="87" fitToHeight="1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R69"/>
  <sheetViews>
    <sheetView zoomScaleNormal="100" workbookViewId="0">
      <selection activeCell="A6" sqref="A6"/>
    </sheetView>
  </sheetViews>
  <sheetFormatPr defaultRowHeight="15"/>
  <cols>
    <col min="1" max="1" width="6.28515625" style="3" customWidth="1"/>
    <col min="2" max="2" width="13.5703125" customWidth="1"/>
    <col min="10" max="10" width="9.140625" style="3"/>
    <col min="11" max="11" width="12.5703125" customWidth="1"/>
  </cols>
  <sheetData>
    <row r="1" spans="1:18" ht="15.75" thickBot="1">
      <c r="C1" t="s">
        <v>71</v>
      </c>
    </row>
    <row r="2" spans="1:18" ht="15.75" thickBot="1">
      <c r="B2" s="11" t="s">
        <v>4</v>
      </c>
      <c r="C2" s="49" t="s">
        <v>49</v>
      </c>
      <c r="D2" s="49" t="s">
        <v>26</v>
      </c>
      <c r="E2" s="49" t="s">
        <v>50</v>
      </c>
      <c r="F2" s="49" t="s">
        <v>51</v>
      </c>
      <c r="G2" s="49" t="s">
        <v>52</v>
      </c>
      <c r="H2" s="49" t="s">
        <v>53</v>
      </c>
      <c r="I2" s="47" t="s">
        <v>6</v>
      </c>
      <c r="J2" s="2" t="s">
        <v>9</v>
      </c>
      <c r="K2" s="11" t="str">
        <f t="shared" ref="K2:R2" si="0">B2</f>
        <v xml:space="preserve">Name = </v>
      </c>
      <c r="L2" s="46" t="str">
        <f t="shared" si="0"/>
        <v>GtotDC</v>
      </c>
      <c r="M2" s="46" t="str">
        <f t="shared" si="0"/>
        <v>Fpo</v>
      </c>
      <c r="N2" s="46" t="str">
        <f t="shared" si="0"/>
        <v>Fzo</v>
      </c>
      <c r="O2" s="46" t="str">
        <f t="shared" si="0"/>
        <v>FPea1</v>
      </c>
      <c r="P2" s="46" t="str">
        <f t="shared" si="0"/>
        <v>FPea2</v>
      </c>
      <c r="Q2" s="46" t="str">
        <f t="shared" si="0"/>
        <v>Fzea</v>
      </c>
      <c r="R2" s="47" t="str">
        <f t="shared" si="0"/>
        <v>Units</v>
      </c>
    </row>
    <row r="3" spans="1:18">
      <c r="B3" s="12" t="s">
        <v>59</v>
      </c>
      <c r="C3" s="50">
        <f>GtotDC_</f>
        <v>62.162276172922262</v>
      </c>
      <c r="D3" s="51">
        <v>0</v>
      </c>
      <c r="E3" s="51">
        <v>0</v>
      </c>
      <c r="F3" s="51">
        <v>0</v>
      </c>
      <c r="G3" s="51">
        <v>0</v>
      </c>
      <c r="H3" s="51">
        <v>0</v>
      </c>
      <c r="I3" s="52" t="s">
        <v>7</v>
      </c>
      <c r="J3" s="22">
        <f>MAX(J8:J69)</f>
        <v>31622.77660168384</v>
      </c>
      <c r="K3" s="12" t="s">
        <v>60</v>
      </c>
      <c r="L3" s="53">
        <f t="shared" ref="L3:Q5" si="1">C3</f>
        <v>62.162276172922262</v>
      </c>
      <c r="M3" s="48">
        <f t="shared" si="1"/>
        <v>0</v>
      </c>
      <c r="N3" s="48">
        <f t="shared" si="1"/>
        <v>0</v>
      </c>
      <c r="O3" s="48">
        <f t="shared" si="1"/>
        <v>0</v>
      </c>
      <c r="P3" s="48">
        <f t="shared" si="1"/>
        <v>0</v>
      </c>
      <c r="Q3" s="48">
        <f t="shared" si="1"/>
        <v>0</v>
      </c>
      <c r="R3" s="1" t="s">
        <v>8</v>
      </c>
    </row>
    <row r="4" spans="1:18">
      <c r="B4" s="12" t="s">
        <v>1</v>
      </c>
      <c r="C4" s="26" t="s">
        <v>10</v>
      </c>
      <c r="D4" s="14">
        <f>FPo_</f>
        <v>4753.2586289266901</v>
      </c>
      <c r="E4" s="18" t="s">
        <v>10</v>
      </c>
      <c r="F4" s="14">
        <f>FPea1_</f>
        <v>23.388773388773387</v>
      </c>
      <c r="G4" s="14">
        <f>FPea2_*1000</f>
        <v>1061032.9539459692</v>
      </c>
      <c r="H4" s="18" t="s">
        <v>10</v>
      </c>
      <c r="I4" s="1" t="s">
        <v>2</v>
      </c>
      <c r="K4" s="12" t="str">
        <f>B4</f>
        <v xml:space="preserve">Fp = </v>
      </c>
      <c r="L4" s="53" t="str">
        <f t="shared" si="1"/>
        <v>-</v>
      </c>
      <c r="M4" s="48">
        <f t="shared" si="1"/>
        <v>4753.2586289266901</v>
      </c>
      <c r="N4" s="48" t="str">
        <f t="shared" si="1"/>
        <v>-</v>
      </c>
      <c r="O4" s="48">
        <f t="shared" si="1"/>
        <v>23.388773388773387</v>
      </c>
      <c r="P4" s="48">
        <f t="shared" si="1"/>
        <v>1061032.9539459692</v>
      </c>
      <c r="Q4" s="48" t="str">
        <f t="shared" si="1"/>
        <v>-</v>
      </c>
      <c r="R4" s="1" t="str">
        <f>I4</f>
        <v>Hz</v>
      </c>
    </row>
    <row r="5" spans="1:18" ht="15.75" thickBot="1">
      <c r="B5" s="13" t="s">
        <v>0</v>
      </c>
      <c r="C5" s="29" t="s">
        <v>10</v>
      </c>
      <c r="D5" s="30" t="s">
        <v>10</v>
      </c>
      <c r="E5" s="19">
        <f>Fzo_*1000</f>
        <v>1061032.9539459692</v>
      </c>
      <c r="F5" s="30" t="s">
        <v>10</v>
      </c>
      <c r="G5" s="30" t="s">
        <v>10</v>
      </c>
      <c r="H5" s="19">
        <f>Fzea_</f>
        <v>4753.2586289266901</v>
      </c>
      <c r="I5" s="6" t="s">
        <v>2</v>
      </c>
      <c r="K5" s="13" t="str">
        <f>B5</f>
        <v xml:space="preserve">Fz = </v>
      </c>
      <c r="L5" s="54" t="str">
        <f t="shared" si="1"/>
        <v>-</v>
      </c>
      <c r="M5" s="55" t="str">
        <f t="shared" si="1"/>
        <v>-</v>
      </c>
      <c r="N5" s="55">
        <f t="shared" si="1"/>
        <v>1061032.9539459692</v>
      </c>
      <c r="O5" s="55" t="str">
        <f t="shared" si="1"/>
        <v>-</v>
      </c>
      <c r="P5" s="55" t="str">
        <f t="shared" si="1"/>
        <v>-</v>
      </c>
      <c r="Q5" s="55">
        <f t="shared" si="1"/>
        <v>4753.2586289266901</v>
      </c>
      <c r="R5" s="6" t="str">
        <f>I5</f>
        <v>Hz</v>
      </c>
    </row>
    <row r="6" spans="1:18" ht="15.75" thickBot="1"/>
    <row r="7" spans="1:18">
      <c r="A7" s="2"/>
      <c r="B7" s="8" t="s">
        <v>3</v>
      </c>
      <c r="C7" s="7" t="str">
        <f t="shared" ref="C7:H7" si="2">C2</f>
        <v>GtotDC</v>
      </c>
      <c r="D7" s="4" t="str">
        <f t="shared" si="2"/>
        <v>Fpo</v>
      </c>
      <c r="E7" s="4" t="str">
        <f t="shared" si="2"/>
        <v>Fzo</v>
      </c>
      <c r="F7" s="4" t="str">
        <f t="shared" si="2"/>
        <v>FPea1</v>
      </c>
      <c r="G7" s="4" t="str">
        <f t="shared" si="2"/>
        <v>FPea2</v>
      </c>
      <c r="H7" s="4" t="str">
        <f t="shared" si="2"/>
        <v>Fzea</v>
      </c>
      <c r="I7" s="5" t="s">
        <v>5</v>
      </c>
      <c r="K7" s="8" t="s">
        <v>3</v>
      </c>
      <c r="L7" s="7" t="str">
        <f t="shared" ref="L7:Q8" si="3">L2</f>
        <v>GtotDC</v>
      </c>
      <c r="M7" s="7" t="str">
        <f t="shared" si="3"/>
        <v>Fpo</v>
      </c>
      <c r="N7" s="7" t="str">
        <f t="shared" si="3"/>
        <v>Fzo</v>
      </c>
      <c r="O7" s="7" t="str">
        <f t="shared" si="3"/>
        <v>FPea1</v>
      </c>
      <c r="P7" s="7" t="str">
        <f t="shared" si="3"/>
        <v>FPea2</v>
      </c>
      <c r="Q7" s="7" t="str">
        <f t="shared" si="3"/>
        <v>Fzea</v>
      </c>
      <c r="R7" s="5" t="s">
        <v>5</v>
      </c>
    </row>
    <row r="8" spans="1:18">
      <c r="B8" s="9">
        <v>1</v>
      </c>
      <c r="C8" s="15">
        <f t="shared" ref="C8:H8" si="4">C3</f>
        <v>62.162276172922262</v>
      </c>
      <c r="D8" s="15">
        <f t="shared" si="4"/>
        <v>0</v>
      </c>
      <c r="E8" s="15">
        <f t="shared" si="4"/>
        <v>0</v>
      </c>
      <c r="F8" s="15">
        <f t="shared" si="4"/>
        <v>0</v>
      </c>
      <c r="G8" s="15">
        <f t="shared" si="4"/>
        <v>0</v>
      </c>
      <c r="H8" s="15">
        <f t="shared" si="4"/>
        <v>0</v>
      </c>
      <c r="I8" s="20">
        <f t="shared" ref="I8:I39" si="5">SUM(C8:H8)</f>
        <v>62.162276172922262</v>
      </c>
      <c r="J8" s="3" t="str">
        <f t="shared" ref="J8:J39" si="6">IF(AND($I8&lt;0,$I7&gt;0),$B8,"0")</f>
        <v>0</v>
      </c>
      <c r="K8" s="9">
        <v>1</v>
      </c>
      <c r="L8" s="15">
        <f t="shared" si="3"/>
        <v>62.162276172922262</v>
      </c>
      <c r="M8" s="15">
        <f t="shared" si="3"/>
        <v>0</v>
      </c>
      <c r="N8" s="15">
        <f t="shared" si="3"/>
        <v>0</v>
      </c>
      <c r="O8" s="15">
        <f t="shared" si="3"/>
        <v>0</v>
      </c>
      <c r="P8" s="15">
        <f t="shared" si="3"/>
        <v>0</v>
      </c>
      <c r="Q8" s="15">
        <f t="shared" si="3"/>
        <v>0</v>
      </c>
      <c r="R8" s="16">
        <f t="shared" ref="R8:R39" si="7">SUM(L8:Q8)</f>
        <v>62.162276172922262</v>
      </c>
    </row>
    <row r="9" spans="1:18">
      <c r="B9" s="9">
        <v>1.2589254117941673</v>
      </c>
      <c r="C9" s="15">
        <f t="shared" ref="C9:C24" si="8">IF(OR(ISNUMBER(C$4),ISNUMBER(C$5)),IF(ISNUMBER(C$4),IF($B9&gt;C$4,C8-2,C8),IF($B9&gt;C$5,C8+2,C8)),C8)</f>
        <v>62.162276172922262</v>
      </c>
      <c r="D9" s="15">
        <f t="shared" ref="D9:H24" si="9">IF(OR(ISNUMBER(D$4),ISNUMBER(D$5)),IF(ISNUMBER(D$4),IF($B9&gt;D$4,D8-2,D8),IF($B9&gt;D$5,D8+2,D8)),D8)</f>
        <v>0</v>
      </c>
      <c r="E9" s="15">
        <f t="shared" si="9"/>
        <v>0</v>
      </c>
      <c r="F9" s="15">
        <f t="shared" si="9"/>
        <v>0</v>
      </c>
      <c r="G9" s="15">
        <f t="shared" si="9"/>
        <v>0</v>
      </c>
      <c r="H9" s="15">
        <f t="shared" si="9"/>
        <v>0</v>
      </c>
      <c r="I9" s="20">
        <f t="shared" si="5"/>
        <v>62.162276172922262</v>
      </c>
      <c r="J9" s="3" t="str">
        <f t="shared" si="6"/>
        <v>0</v>
      </c>
      <c r="K9" s="9">
        <v>1.2589254117941673</v>
      </c>
      <c r="L9" s="15">
        <f t="shared" ref="L9:L40" si="10">IF(OR(ISNUMBER(L$4),ISNUMBER(L$5)),IF(ISNUMBER(L$4),IF(AND($K9&gt;L$4/10,$K9&lt;L$4*10),L8-4.5,L8),IF(AND($K9&gt;L$5/10,$K9&lt;L$5*10),L8+4.5,L8)),L8)</f>
        <v>62.162276172922262</v>
      </c>
      <c r="M9" s="15">
        <f t="shared" ref="M9:M40" si="11">IF(OR(ISNUMBER(M$4),ISNUMBER(M$5)),IF(ISNUMBER(M$4),IF(AND($K9&gt;M$4/10,$K9&lt;M$4*10),M8-4.5,M8),IF(AND($K9&gt;M$5/10,$K9&lt;M$5*10),M8+4.5,M8)),M8)</f>
        <v>0</v>
      </c>
      <c r="N9" s="15">
        <f t="shared" ref="N9:N40" si="12">IF(OR(ISNUMBER(N$4),ISNUMBER(N$5)),IF(ISNUMBER(N$4),IF(AND($K9&gt;N$4/10,$K9&lt;N$4*10),N8-4.5,N8),IF(AND($K9&gt;N$5/10,$K9&lt;N$5*10),N8+4.5,N8)),N8)</f>
        <v>0</v>
      </c>
      <c r="O9" s="15">
        <f t="shared" ref="O9:O40" si="13">IF(OR(ISNUMBER(O$4),ISNUMBER(O$5)),IF(ISNUMBER(O$4),IF(AND($K9&gt;O$4/10,$K9&lt;O$4*10),O8-4.5,O8),IF(AND($K9&gt;O$5/10,$K9&lt;O$5*10),O8+4.5,O8)),O8)</f>
        <v>0</v>
      </c>
      <c r="P9" s="15">
        <f t="shared" ref="P9:P40" si="14">IF(OR(ISNUMBER(P$4),ISNUMBER(P$5)),IF(ISNUMBER(P$4),IF(AND($K9&gt;P$4/10,$K9&lt;P$4*10),P8-4.5,P8),IF(AND($K9&gt;P$5/10,$K9&lt;P$5*10),P8+4.5,P8)),P8)</f>
        <v>0</v>
      </c>
      <c r="Q9" s="15">
        <f t="shared" ref="Q9:Q40" si="15">IF(OR(ISNUMBER(Q$4),ISNUMBER(Q$5)),IF(ISNUMBER(Q$4),IF(AND($K9&gt;Q$4/10,$K9&lt;Q$4*10),Q8-4.5,Q8),IF(AND($K9&gt;Q$5/10,$K9&lt;Q$5*10),Q8+4.5,Q8)),Q8)</f>
        <v>0</v>
      </c>
      <c r="R9" s="16">
        <f t="shared" si="7"/>
        <v>62.162276172922262</v>
      </c>
    </row>
    <row r="10" spans="1:18">
      <c r="B10" s="9">
        <v>1.5848931924611136</v>
      </c>
      <c r="C10" s="15">
        <f t="shared" si="8"/>
        <v>62.162276172922262</v>
      </c>
      <c r="D10" s="15">
        <f t="shared" si="9"/>
        <v>0</v>
      </c>
      <c r="E10" s="15">
        <f t="shared" si="9"/>
        <v>0</v>
      </c>
      <c r="F10" s="15">
        <f t="shared" si="9"/>
        <v>0</v>
      </c>
      <c r="G10" s="15">
        <f t="shared" si="9"/>
        <v>0</v>
      </c>
      <c r="H10" s="15">
        <f t="shared" si="9"/>
        <v>0</v>
      </c>
      <c r="I10" s="20">
        <f t="shared" si="5"/>
        <v>62.162276172922262</v>
      </c>
      <c r="J10" s="3" t="str">
        <f t="shared" si="6"/>
        <v>0</v>
      </c>
      <c r="K10" s="9">
        <v>1.5848931924611136</v>
      </c>
      <c r="L10" s="15">
        <f t="shared" si="10"/>
        <v>62.162276172922262</v>
      </c>
      <c r="M10" s="15">
        <f t="shared" si="11"/>
        <v>0</v>
      </c>
      <c r="N10" s="15">
        <f t="shared" si="12"/>
        <v>0</v>
      </c>
      <c r="O10" s="15">
        <f t="shared" si="13"/>
        <v>0</v>
      </c>
      <c r="P10" s="15">
        <f t="shared" si="14"/>
        <v>0</v>
      </c>
      <c r="Q10" s="15">
        <f t="shared" si="15"/>
        <v>0</v>
      </c>
      <c r="R10" s="16">
        <f t="shared" si="7"/>
        <v>62.162276172922262</v>
      </c>
    </row>
    <row r="11" spans="1:18">
      <c r="B11" s="9">
        <v>1.99526231496888</v>
      </c>
      <c r="C11" s="15">
        <f t="shared" si="8"/>
        <v>62.162276172922262</v>
      </c>
      <c r="D11" s="15">
        <f t="shared" si="9"/>
        <v>0</v>
      </c>
      <c r="E11" s="15">
        <f t="shared" si="9"/>
        <v>0</v>
      </c>
      <c r="F11" s="15">
        <f t="shared" si="9"/>
        <v>0</v>
      </c>
      <c r="G11" s="15">
        <f t="shared" si="9"/>
        <v>0</v>
      </c>
      <c r="H11" s="15">
        <f t="shared" si="9"/>
        <v>0</v>
      </c>
      <c r="I11" s="20">
        <f t="shared" si="5"/>
        <v>62.162276172922262</v>
      </c>
      <c r="J11" s="3" t="str">
        <f t="shared" si="6"/>
        <v>0</v>
      </c>
      <c r="K11" s="9">
        <v>1.99526231496888</v>
      </c>
      <c r="L11" s="15">
        <f t="shared" si="10"/>
        <v>62.162276172922262</v>
      </c>
      <c r="M11" s="15">
        <f t="shared" si="11"/>
        <v>0</v>
      </c>
      <c r="N11" s="15">
        <f t="shared" si="12"/>
        <v>0</v>
      </c>
      <c r="O11" s="15">
        <f t="shared" si="13"/>
        <v>0</v>
      </c>
      <c r="P11" s="15">
        <f t="shared" si="14"/>
        <v>0</v>
      </c>
      <c r="Q11" s="15">
        <f t="shared" si="15"/>
        <v>0</v>
      </c>
      <c r="R11" s="16">
        <f t="shared" si="7"/>
        <v>62.162276172922262</v>
      </c>
    </row>
    <row r="12" spans="1:18">
      <c r="B12" s="9">
        <v>2.5118864315095806</v>
      </c>
      <c r="C12" s="15">
        <f t="shared" si="8"/>
        <v>62.162276172922262</v>
      </c>
      <c r="D12" s="15">
        <f t="shared" si="9"/>
        <v>0</v>
      </c>
      <c r="E12" s="15">
        <f t="shared" si="9"/>
        <v>0</v>
      </c>
      <c r="F12" s="15">
        <f t="shared" si="9"/>
        <v>0</v>
      </c>
      <c r="G12" s="15">
        <f t="shared" si="9"/>
        <v>0</v>
      </c>
      <c r="H12" s="15">
        <f t="shared" si="9"/>
        <v>0</v>
      </c>
      <c r="I12" s="20">
        <f t="shared" si="5"/>
        <v>62.162276172922262</v>
      </c>
      <c r="J12" s="3" t="str">
        <f t="shared" si="6"/>
        <v>0</v>
      </c>
      <c r="K12" s="9">
        <v>2.5118864315095806</v>
      </c>
      <c r="L12" s="15">
        <f t="shared" si="10"/>
        <v>62.162276172922262</v>
      </c>
      <c r="M12" s="15">
        <f t="shared" si="11"/>
        <v>0</v>
      </c>
      <c r="N12" s="15">
        <f t="shared" si="12"/>
        <v>0</v>
      </c>
      <c r="O12" s="15">
        <f t="shared" si="13"/>
        <v>-4.5</v>
      </c>
      <c r="P12" s="15">
        <f t="shared" si="14"/>
        <v>0</v>
      </c>
      <c r="Q12" s="15">
        <f t="shared" si="15"/>
        <v>0</v>
      </c>
      <c r="R12" s="16">
        <f t="shared" si="7"/>
        <v>57.662276172922262</v>
      </c>
    </row>
    <row r="13" spans="1:18">
      <c r="B13" s="9">
        <v>3.1622776601683795</v>
      </c>
      <c r="C13" s="15">
        <f t="shared" si="8"/>
        <v>62.162276172922262</v>
      </c>
      <c r="D13" s="15">
        <f t="shared" si="9"/>
        <v>0</v>
      </c>
      <c r="E13" s="15">
        <f t="shared" si="9"/>
        <v>0</v>
      </c>
      <c r="F13" s="15">
        <f t="shared" si="9"/>
        <v>0</v>
      </c>
      <c r="G13" s="15">
        <f t="shared" si="9"/>
        <v>0</v>
      </c>
      <c r="H13" s="15">
        <f t="shared" si="9"/>
        <v>0</v>
      </c>
      <c r="I13" s="20">
        <f t="shared" si="5"/>
        <v>62.162276172922262</v>
      </c>
      <c r="J13" s="3" t="str">
        <f t="shared" si="6"/>
        <v>0</v>
      </c>
      <c r="K13" s="9">
        <v>3.1622776601683795</v>
      </c>
      <c r="L13" s="15">
        <f t="shared" si="10"/>
        <v>62.162276172922262</v>
      </c>
      <c r="M13" s="15">
        <f t="shared" si="11"/>
        <v>0</v>
      </c>
      <c r="N13" s="15">
        <f t="shared" si="12"/>
        <v>0</v>
      </c>
      <c r="O13" s="15">
        <f t="shared" si="13"/>
        <v>-9</v>
      </c>
      <c r="P13" s="15">
        <f t="shared" si="14"/>
        <v>0</v>
      </c>
      <c r="Q13" s="15">
        <f t="shared" si="15"/>
        <v>0</v>
      </c>
      <c r="R13" s="16">
        <f t="shared" si="7"/>
        <v>53.162276172922262</v>
      </c>
    </row>
    <row r="14" spans="1:18">
      <c r="B14" s="9">
        <v>3.9810717055349736</v>
      </c>
      <c r="C14" s="15">
        <f t="shared" si="8"/>
        <v>62.162276172922262</v>
      </c>
      <c r="D14" s="15">
        <f t="shared" si="9"/>
        <v>0</v>
      </c>
      <c r="E14" s="15">
        <f t="shared" si="9"/>
        <v>0</v>
      </c>
      <c r="F14" s="15">
        <f t="shared" si="9"/>
        <v>0</v>
      </c>
      <c r="G14" s="15">
        <f t="shared" si="9"/>
        <v>0</v>
      </c>
      <c r="H14" s="15">
        <f t="shared" si="9"/>
        <v>0</v>
      </c>
      <c r="I14" s="20">
        <f t="shared" si="5"/>
        <v>62.162276172922262</v>
      </c>
      <c r="J14" s="3" t="str">
        <f t="shared" si="6"/>
        <v>0</v>
      </c>
      <c r="K14" s="9">
        <v>3.9810717055349736</v>
      </c>
      <c r="L14" s="15">
        <f t="shared" si="10"/>
        <v>62.162276172922262</v>
      </c>
      <c r="M14" s="15">
        <f t="shared" si="11"/>
        <v>0</v>
      </c>
      <c r="N14" s="15">
        <f t="shared" si="12"/>
        <v>0</v>
      </c>
      <c r="O14" s="15">
        <f t="shared" si="13"/>
        <v>-13.5</v>
      </c>
      <c r="P14" s="15">
        <f t="shared" si="14"/>
        <v>0</v>
      </c>
      <c r="Q14" s="15">
        <f t="shared" si="15"/>
        <v>0</v>
      </c>
      <c r="R14" s="16">
        <f t="shared" si="7"/>
        <v>48.662276172922262</v>
      </c>
    </row>
    <row r="15" spans="1:18">
      <c r="B15" s="9">
        <v>5.0118723362727238</v>
      </c>
      <c r="C15" s="15">
        <f t="shared" si="8"/>
        <v>62.162276172922262</v>
      </c>
      <c r="D15" s="15">
        <f t="shared" si="9"/>
        <v>0</v>
      </c>
      <c r="E15" s="15">
        <f t="shared" si="9"/>
        <v>0</v>
      </c>
      <c r="F15" s="15">
        <f t="shared" si="9"/>
        <v>0</v>
      </c>
      <c r="G15" s="15">
        <f t="shared" si="9"/>
        <v>0</v>
      </c>
      <c r="H15" s="15">
        <f t="shared" si="9"/>
        <v>0</v>
      </c>
      <c r="I15" s="20">
        <f t="shared" si="5"/>
        <v>62.162276172922262</v>
      </c>
      <c r="J15" s="3" t="str">
        <f t="shared" si="6"/>
        <v>0</v>
      </c>
      <c r="K15" s="9">
        <v>5.0118723362727238</v>
      </c>
      <c r="L15" s="15">
        <f t="shared" si="10"/>
        <v>62.162276172922262</v>
      </c>
      <c r="M15" s="15">
        <f t="shared" si="11"/>
        <v>0</v>
      </c>
      <c r="N15" s="15">
        <f t="shared" si="12"/>
        <v>0</v>
      </c>
      <c r="O15" s="15">
        <f t="shared" si="13"/>
        <v>-18</v>
      </c>
      <c r="P15" s="15">
        <f t="shared" si="14"/>
        <v>0</v>
      </c>
      <c r="Q15" s="15">
        <f t="shared" si="15"/>
        <v>0</v>
      </c>
      <c r="R15" s="16">
        <f t="shared" si="7"/>
        <v>44.162276172922262</v>
      </c>
    </row>
    <row r="16" spans="1:18">
      <c r="B16" s="9">
        <v>6.3095734448019343</v>
      </c>
      <c r="C16" s="15">
        <f t="shared" si="8"/>
        <v>62.162276172922262</v>
      </c>
      <c r="D16" s="15">
        <f t="shared" si="9"/>
        <v>0</v>
      </c>
      <c r="E16" s="15">
        <f t="shared" si="9"/>
        <v>0</v>
      </c>
      <c r="F16" s="15">
        <f t="shared" si="9"/>
        <v>0</v>
      </c>
      <c r="G16" s="15">
        <f t="shared" si="9"/>
        <v>0</v>
      </c>
      <c r="H16" s="15">
        <f t="shared" si="9"/>
        <v>0</v>
      </c>
      <c r="I16" s="20">
        <f t="shared" si="5"/>
        <v>62.162276172922262</v>
      </c>
      <c r="J16" s="3" t="str">
        <f t="shared" si="6"/>
        <v>0</v>
      </c>
      <c r="K16" s="9">
        <v>6.3095734448019343</v>
      </c>
      <c r="L16" s="15">
        <f t="shared" si="10"/>
        <v>62.162276172922262</v>
      </c>
      <c r="M16" s="15">
        <f t="shared" si="11"/>
        <v>0</v>
      </c>
      <c r="N16" s="15">
        <f t="shared" si="12"/>
        <v>0</v>
      </c>
      <c r="O16" s="15">
        <f t="shared" si="13"/>
        <v>-22.5</v>
      </c>
      <c r="P16" s="15">
        <f t="shared" si="14"/>
        <v>0</v>
      </c>
      <c r="Q16" s="15">
        <f t="shared" si="15"/>
        <v>0</v>
      </c>
      <c r="R16" s="16">
        <f t="shared" si="7"/>
        <v>39.662276172922262</v>
      </c>
    </row>
    <row r="17" spans="2:18">
      <c r="B17" s="9">
        <v>7.9432823472428176</v>
      </c>
      <c r="C17" s="15">
        <f t="shared" si="8"/>
        <v>62.162276172922262</v>
      </c>
      <c r="D17" s="15">
        <f t="shared" si="9"/>
        <v>0</v>
      </c>
      <c r="E17" s="15">
        <f t="shared" si="9"/>
        <v>0</v>
      </c>
      <c r="F17" s="15">
        <f t="shared" si="9"/>
        <v>0</v>
      </c>
      <c r="G17" s="15">
        <f t="shared" si="9"/>
        <v>0</v>
      </c>
      <c r="H17" s="15">
        <f t="shared" si="9"/>
        <v>0</v>
      </c>
      <c r="I17" s="20">
        <f t="shared" si="5"/>
        <v>62.162276172922262</v>
      </c>
      <c r="J17" s="3" t="str">
        <f t="shared" si="6"/>
        <v>0</v>
      </c>
      <c r="K17" s="9">
        <v>7.9432823472428176</v>
      </c>
      <c r="L17" s="15">
        <f t="shared" si="10"/>
        <v>62.162276172922262</v>
      </c>
      <c r="M17" s="15">
        <f t="shared" si="11"/>
        <v>0</v>
      </c>
      <c r="N17" s="15">
        <f t="shared" si="12"/>
        <v>0</v>
      </c>
      <c r="O17" s="15">
        <f t="shared" si="13"/>
        <v>-27</v>
      </c>
      <c r="P17" s="15">
        <f t="shared" si="14"/>
        <v>0</v>
      </c>
      <c r="Q17" s="15">
        <f t="shared" si="15"/>
        <v>0</v>
      </c>
      <c r="R17" s="16">
        <f t="shared" si="7"/>
        <v>35.162276172922262</v>
      </c>
    </row>
    <row r="18" spans="2:18">
      <c r="B18" s="9">
        <v>10</v>
      </c>
      <c r="C18" s="15">
        <f t="shared" si="8"/>
        <v>62.162276172922262</v>
      </c>
      <c r="D18" s="15">
        <f t="shared" si="9"/>
        <v>0</v>
      </c>
      <c r="E18" s="15">
        <f t="shared" si="9"/>
        <v>0</v>
      </c>
      <c r="F18" s="15">
        <f t="shared" si="9"/>
        <v>0</v>
      </c>
      <c r="G18" s="15">
        <f t="shared" si="9"/>
        <v>0</v>
      </c>
      <c r="H18" s="15">
        <f t="shared" si="9"/>
        <v>0</v>
      </c>
      <c r="I18" s="20">
        <f t="shared" si="5"/>
        <v>62.162276172922262</v>
      </c>
      <c r="J18" s="3" t="str">
        <f t="shared" si="6"/>
        <v>0</v>
      </c>
      <c r="K18" s="9">
        <v>10</v>
      </c>
      <c r="L18" s="15">
        <f t="shared" si="10"/>
        <v>62.162276172922262</v>
      </c>
      <c r="M18" s="15">
        <f t="shared" si="11"/>
        <v>0</v>
      </c>
      <c r="N18" s="15">
        <f t="shared" si="12"/>
        <v>0</v>
      </c>
      <c r="O18" s="15">
        <f t="shared" si="13"/>
        <v>-31.5</v>
      </c>
      <c r="P18" s="15">
        <f t="shared" si="14"/>
        <v>0</v>
      </c>
      <c r="Q18" s="15">
        <f t="shared" si="15"/>
        <v>0</v>
      </c>
      <c r="R18" s="16">
        <f t="shared" si="7"/>
        <v>30.662276172922262</v>
      </c>
    </row>
    <row r="19" spans="2:18">
      <c r="B19" s="9">
        <v>12.58925411794168</v>
      </c>
      <c r="C19" s="15">
        <f t="shared" si="8"/>
        <v>62.162276172922262</v>
      </c>
      <c r="D19" s="15">
        <f t="shared" si="9"/>
        <v>0</v>
      </c>
      <c r="E19" s="15">
        <f t="shared" si="9"/>
        <v>0</v>
      </c>
      <c r="F19" s="15">
        <f t="shared" si="9"/>
        <v>0</v>
      </c>
      <c r="G19" s="15">
        <f t="shared" si="9"/>
        <v>0</v>
      </c>
      <c r="H19" s="15">
        <f t="shared" si="9"/>
        <v>0</v>
      </c>
      <c r="I19" s="20">
        <f t="shared" si="5"/>
        <v>62.162276172922262</v>
      </c>
      <c r="J19" s="3" t="str">
        <f t="shared" si="6"/>
        <v>0</v>
      </c>
      <c r="K19" s="9">
        <v>12.58925411794168</v>
      </c>
      <c r="L19" s="15">
        <f t="shared" si="10"/>
        <v>62.162276172922262</v>
      </c>
      <c r="M19" s="15">
        <f t="shared" si="11"/>
        <v>0</v>
      </c>
      <c r="N19" s="15">
        <f t="shared" si="12"/>
        <v>0</v>
      </c>
      <c r="O19" s="15">
        <f t="shared" si="13"/>
        <v>-36</v>
      </c>
      <c r="P19" s="15">
        <f t="shared" si="14"/>
        <v>0</v>
      </c>
      <c r="Q19" s="15">
        <f t="shared" si="15"/>
        <v>0</v>
      </c>
      <c r="R19" s="16">
        <f t="shared" si="7"/>
        <v>26.162276172922262</v>
      </c>
    </row>
    <row r="20" spans="2:18">
      <c r="B20" s="9">
        <v>15.848931924611144</v>
      </c>
      <c r="C20" s="15">
        <f t="shared" si="8"/>
        <v>62.162276172922262</v>
      </c>
      <c r="D20" s="15">
        <f t="shared" si="9"/>
        <v>0</v>
      </c>
      <c r="E20" s="15">
        <f t="shared" si="9"/>
        <v>0</v>
      </c>
      <c r="F20" s="15">
        <f t="shared" si="9"/>
        <v>0</v>
      </c>
      <c r="G20" s="15">
        <f t="shared" si="9"/>
        <v>0</v>
      </c>
      <c r="H20" s="15">
        <f t="shared" si="9"/>
        <v>0</v>
      </c>
      <c r="I20" s="20">
        <f t="shared" si="5"/>
        <v>62.162276172922262</v>
      </c>
      <c r="J20" s="3" t="str">
        <f t="shared" si="6"/>
        <v>0</v>
      </c>
      <c r="K20" s="9">
        <v>15.848931924611144</v>
      </c>
      <c r="L20" s="15">
        <f t="shared" si="10"/>
        <v>62.162276172922262</v>
      </c>
      <c r="M20" s="15">
        <f t="shared" si="11"/>
        <v>0</v>
      </c>
      <c r="N20" s="15">
        <f t="shared" si="12"/>
        <v>0</v>
      </c>
      <c r="O20" s="15">
        <f t="shared" si="13"/>
        <v>-40.5</v>
      </c>
      <c r="P20" s="15">
        <f t="shared" si="14"/>
        <v>0</v>
      </c>
      <c r="Q20" s="15">
        <f t="shared" si="15"/>
        <v>0</v>
      </c>
      <c r="R20" s="16">
        <f t="shared" si="7"/>
        <v>21.662276172922262</v>
      </c>
    </row>
    <row r="21" spans="2:18">
      <c r="B21" s="9">
        <v>19.952623149688804</v>
      </c>
      <c r="C21" s="15">
        <f t="shared" si="8"/>
        <v>62.162276172922262</v>
      </c>
      <c r="D21" s="15">
        <f t="shared" si="9"/>
        <v>0</v>
      </c>
      <c r="E21" s="15">
        <f t="shared" si="9"/>
        <v>0</v>
      </c>
      <c r="F21" s="15">
        <f t="shared" si="9"/>
        <v>0</v>
      </c>
      <c r="G21" s="15">
        <f t="shared" si="9"/>
        <v>0</v>
      </c>
      <c r="H21" s="15">
        <f t="shared" si="9"/>
        <v>0</v>
      </c>
      <c r="I21" s="20">
        <f t="shared" si="5"/>
        <v>62.162276172922262</v>
      </c>
      <c r="J21" s="3" t="str">
        <f t="shared" si="6"/>
        <v>0</v>
      </c>
      <c r="K21" s="9">
        <v>19.952623149688804</v>
      </c>
      <c r="L21" s="15">
        <f t="shared" si="10"/>
        <v>62.162276172922262</v>
      </c>
      <c r="M21" s="15">
        <f t="shared" si="11"/>
        <v>0</v>
      </c>
      <c r="N21" s="15">
        <f t="shared" si="12"/>
        <v>0</v>
      </c>
      <c r="O21" s="15">
        <f t="shared" si="13"/>
        <v>-45</v>
      </c>
      <c r="P21" s="15">
        <f t="shared" si="14"/>
        <v>0</v>
      </c>
      <c r="Q21" s="15">
        <f t="shared" si="15"/>
        <v>0</v>
      </c>
      <c r="R21" s="16">
        <f t="shared" si="7"/>
        <v>17.162276172922262</v>
      </c>
    </row>
    <row r="22" spans="2:18">
      <c r="B22" s="9">
        <v>25.118864315095809</v>
      </c>
      <c r="C22" s="15">
        <f t="shared" si="8"/>
        <v>62.162276172922262</v>
      </c>
      <c r="D22" s="15">
        <f t="shared" si="9"/>
        <v>0</v>
      </c>
      <c r="E22" s="15">
        <f t="shared" si="9"/>
        <v>0</v>
      </c>
      <c r="F22" s="15">
        <f t="shared" si="9"/>
        <v>-2</v>
      </c>
      <c r="G22" s="15">
        <f t="shared" si="9"/>
        <v>0</v>
      </c>
      <c r="H22" s="15">
        <f t="shared" si="9"/>
        <v>0</v>
      </c>
      <c r="I22" s="20">
        <f t="shared" si="5"/>
        <v>60.162276172922262</v>
      </c>
      <c r="J22" s="3" t="str">
        <f t="shared" si="6"/>
        <v>0</v>
      </c>
      <c r="K22" s="9">
        <v>25.118864315095809</v>
      </c>
      <c r="L22" s="15">
        <f t="shared" si="10"/>
        <v>62.162276172922262</v>
      </c>
      <c r="M22" s="15">
        <f t="shared" si="11"/>
        <v>0</v>
      </c>
      <c r="N22" s="15">
        <f t="shared" si="12"/>
        <v>0</v>
      </c>
      <c r="O22" s="15">
        <f t="shared" si="13"/>
        <v>-49.5</v>
      </c>
      <c r="P22" s="15">
        <f t="shared" si="14"/>
        <v>0</v>
      </c>
      <c r="Q22" s="15">
        <f t="shared" si="15"/>
        <v>0</v>
      </c>
      <c r="R22" s="16">
        <f t="shared" si="7"/>
        <v>12.662276172922262</v>
      </c>
    </row>
    <row r="23" spans="2:18">
      <c r="B23" s="9">
        <v>31.622776601683803</v>
      </c>
      <c r="C23" s="15">
        <f t="shared" si="8"/>
        <v>62.162276172922262</v>
      </c>
      <c r="D23" s="15">
        <f t="shared" si="9"/>
        <v>0</v>
      </c>
      <c r="E23" s="15">
        <f t="shared" si="9"/>
        <v>0</v>
      </c>
      <c r="F23" s="15">
        <f t="shared" si="9"/>
        <v>-4</v>
      </c>
      <c r="G23" s="15">
        <f t="shared" si="9"/>
        <v>0</v>
      </c>
      <c r="H23" s="15">
        <f t="shared" si="9"/>
        <v>0</v>
      </c>
      <c r="I23" s="20">
        <f t="shared" si="5"/>
        <v>58.162276172922262</v>
      </c>
      <c r="J23" s="3" t="str">
        <f t="shared" si="6"/>
        <v>0</v>
      </c>
      <c r="K23" s="9">
        <v>31.622776601683803</v>
      </c>
      <c r="L23" s="15">
        <f t="shared" si="10"/>
        <v>62.162276172922262</v>
      </c>
      <c r="M23" s="15">
        <f t="shared" si="11"/>
        <v>0</v>
      </c>
      <c r="N23" s="15">
        <f t="shared" si="12"/>
        <v>0</v>
      </c>
      <c r="O23" s="15">
        <f t="shared" si="13"/>
        <v>-54</v>
      </c>
      <c r="P23" s="15">
        <f t="shared" si="14"/>
        <v>0</v>
      </c>
      <c r="Q23" s="15">
        <f t="shared" si="15"/>
        <v>0</v>
      </c>
      <c r="R23" s="16">
        <f t="shared" si="7"/>
        <v>8.1622761729222617</v>
      </c>
    </row>
    <row r="24" spans="2:18">
      <c r="B24" s="9">
        <v>39.810717055349755</v>
      </c>
      <c r="C24" s="15">
        <f t="shared" si="8"/>
        <v>62.162276172922262</v>
      </c>
      <c r="D24" s="15">
        <f t="shared" si="9"/>
        <v>0</v>
      </c>
      <c r="E24" s="15">
        <f t="shared" si="9"/>
        <v>0</v>
      </c>
      <c r="F24" s="15">
        <f t="shared" si="9"/>
        <v>-6</v>
      </c>
      <c r="G24" s="15">
        <f t="shared" si="9"/>
        <v>0</v>
      </c>
      <c r="H24" s="15">
        <f t="shared" si="9"/>
        <v>0</v>
      </c>
      <c r="I24" s="20">
        <f t="shared" si="5"/>
        <v>56.162276172922262</v>
      </c>
      <c r="J24" s="3" t="str">
        <f t="shared" si="6"/>
        <v>0</v>
      </c>
      <c r="K24" s="9">
        <v>39.810717055349755</v>
      </c>
      <c r="L24" s="15">
        <f t="shared" si="10"/>
        <v>62.162276172922262</v>
      </c>
      <c r="M24" s="15">
        <f t="shared" si="11"/>
        <v>0</v>
      </c>
      <c r="N24" s="15">
        <f t="shared" si="12"/>
        <v>0</v>
      </c>
      <c r="O24" s="15">
        <f t="shared" si="13"/>
        <v>-58.5</v>
      </c>
      <c r="P24" s="15">
        <f t="shared" si="14"/>
        <v>0</v>
      </c>
      <c r="Q24" s="15">
        <f t="shared" si="15"/>
        <v>0</v>
      </c>
      <c r="R24" s="16">
        <f t="shared" si="7"/>
        <v>3.6622761729222617</v>
      </c>
    </row>
    <row r="25" spans="2:18">
      <c r="B25" s="9">
        <v>50.118723362727259</v>
      </c>
      <c r="C25" s="15">
        <f t="shared" ref="C25:H40" si="16">IF(OR(ISNUMBER(C$4),ISNUMBER(C$5)),IF(ISNUMBER(C$4),IF($B25&gt;C$4,C24-2,C24),IF($B25&gt;C$5,C24+2,C24)),C24)</f>
        <v>62.162276172922262</v>
      </c>
      <c r="D25" s="15">
        <f t="shared" si="16"/>
        <v>0</v>
      </c>
      <c r="E25" s="15">
        <f t="shared" si="16"/>
        <v>0</v>
      </c>
      <c r="F25" s="15">
        <f t="shared" si="16"/>
        <v>-8</v>
      </c>
      <c r="G25" s="15">
        <f t="shared" si="16"/>
        <v>0</v>
      </c>
      <c r="H25" s="15">
        <f t="shared" si="16"/>
        <v>0</v>
      </c>
      <c r="I25" s="20">
        <f t="shared" si="5"/>
        <v>54.162276172922262</v>
      </c>
      <c r="J25" s="3" t="str">
        <f t="shared" si="6"/>
        <v>0</v>
      </c>
      <c r="K25" s="9">
        <v>50.118723362727259</v>
      </c>
      <c r="L25" s="15">
        <f t="shared" si="10"/>
        <v>62.162276172922262</v>
      </c>
      <c r="M25" s="15">
        <f t="shared" si="11"/>
        <v>0</v>
      </c>
      <c r="N25" s="15">
        <f t="shared" si="12"/>
        <v>0</v>
      </c>
      <c r="O25" s="15">
        <f t="shared" si="13"/>
        <v>-63</v>
      </c>
      <c r="P25" s="15">
        <f t="shared" si="14"/>
        <v>0</v>
      </c>
      <c r="Q25" s="15">
        <f t="shared" si="15"/>
        <v>0</v>
      </c>
      <c r="R25" s="16">
        <f t="shared" si="7"/>
        <v>-0.83772382707773829</v>
      </c>
    </row>
    <row r="26" spans="2:18">
      <c r="B26" s="9">
        <v>63.095734448019364</v>
      </c>
      <c r="C26" s="15">
        <f t="shared" si="16"/>
        <v>62.162276172922262</v>
      </c>
      <c r="D26" s="15">
        <f t="shared" si="16"/>
        <v>0</v>
      </c>
      <c r="E26" s="15">
        <f t="shared" si="16"/>
        <v>0</v>
      </c>
      <c r="F26" s="15">
        <f t="shared" si="16"/>
        <v>-10</v>
      </c>
      <c r="G26" s="15">
        <f t="shared" si="16"/>
        <v>0</v>
      </c>
      <c r="H26" s="15">
        <f t="shared" si="16"/>
        <v>0</v>
      </c>
      <c r="I26" s="20">
        <f t="shared" si="5"/>
        <v>52.162276172922262</v>
      </c>
      <c r="J26" s="3" t="str">
        <f t="shared" si="6"/>
        <v>0</v>
      </c>
      <c r="K26" s="9">
        <v>63.095734448019364</v>
      </c>
      <c r="L26" s="15">
        <f t="shared" si="10"/>
        <v>62.162276172922262</v>
      </c>
      <c r="M26" s="15">
        <f t="shared" si="11"/>
        <v>0</v>
      </c>
      <c r="N26" s="15">
        <f t="shared" si="12"/>
        <v>0</v>
      </c>
      <c r="O26" s="15">
        <f t="shared" si="13"/>
        <v>-67.5</v>
      </c>
      <c r="P26" s="15">
        <f t="shared" si="14"/>
        <v>0</v>
      </c>
      <c r="Q26" s="15">
        <f t="shared" si="15"/>
        <v>0</v>
      </c>
      <c r="R26" s="16">
        <f t="shared" si="7"/>
        <v>-5.3377238270777383</v>
      </c>
    </row>
    <row r="27" spans="2:18">
      <c r="B27" s="9">
        <v>79.432823472428197</v>
      </c>
      <c r="C27" s="15">
        <f t="shared" si="16"/>
        <v>62.162276172922262</v>
      </c>
      <c r="D27" s="15">
        <f t="shared" si="16"/>
        <v>0</v>
      </c>
      <c r="E27" s="15">
        <f t="shared" si="16"/>
        <v>0</v>
      </c>
      <c r="F27" s="15">
        <f t="shared" si="16"/>
        <v>-12</v>
      </c>
      <c r="G27" s="15">
        <f t="shared" si="16"/>
        <v>0</v>
      </c>
      <c r="H27" s="15">
        <f t="shared" si="16"/>
        <v>0</v>
      </c>
      <c r="I27" s="20">
        <f t="shared" si="5"/>
        <v>50.162276172922262</v>
      </c>
      <c r="J27" s="3" t="str">
        <f t="shared" si="6"/>
        <v>0</v>
      </c>
      <c r="K27" s="9">
        <v>79.432823472428197</v>
      </c>
      <c r="L27" s="15">
        <f t="shared" si="10"/>
        <v>62.162276172922262</v>
      </c>
      <c r="M27" s="15">
        <f t="shared" si="11"/>
        <v>0</v>
      </c>
      <c r="N27" s="15">
        <f t="shared" si="12"/>
        <v>0</v>
      </c>
      <c r="O27" s="15">
        <f t="shared" si="13"/>
        <v>-72</v>
      </c>
      <c r="P27" s="15">
        <f t="shared" si="14"/>
        <v>0</v>
      </c>
      <c r="Q27" s="15">
        <f t="shared" si="15"/>
        <v>0</v>
      </c>
      <c r="R27" s="16">
        <f t="shared" si="7"/>
        <v>-9.8377238270777383</v>
      </c>
    </row>
    <row r="28" spans="2:18">
      <c r="B28" s="9">
        <v>100</v>
      </c>
      <c r="C28" s="15">
        <f t="shared" si="16"/>
        <v>62.162276172922262</v>
      </c>
      <c r="D28" s="15">
        <f t="shared" si="16"/>
        <v>0</v>
      </c>
      <c r="E28" s="15">
        <f t="shared" si="16"/>
        <v>0</v>
      </c>
      <c r="F28" s="15">
        <f t="shared" si="16"/>
        <v>-14</v>
      </c>
      <c r="G28" s="15">
        <f t="shared" si="16"/>
        <v>0</v>
      </c>
      <c r="H28" s="15">
        <f t="shared" si="16"/>
        <v>0</v>
      </c>
      <c r="I28" s="20">
        <f t="shared" si="5"/>
        <v>48.162276172922262</v>
      </c>
      <c r="J28" s="3" t="str">
        <f t="shared" si="6"/>
        <v>0</v>
      </c>
      <c r="K28" s="9">
        <v>100</v>
      </c>
      <c r="L28" s="15">
        <f t="shared" si="10"/>
        <v>62.162276172922262</v>
      </c>
      <c r="M28" s="15">
        <f t="shared" si="11"/>
        <v>0</v>
      </c>
      <c r="N28" s="15">
        <f t="shared" si="12"/>
        <v>0</v>
      </c>
      <c r="O28" s="15">
        <f t="shared" si="13"/>
        <v>-76.5</v>
      </c>
      <c r="P28" s="15">
        <f t="shared" si="14"/>
        <v>0</v>
      </c>
      <c r="Q28" s="15">
        <f t="shared" si="15"/>
        <v>0</v>
      </c>
      <c r="R28" s="16">
        <f t="shared" si="7"/>
        <v>-14.337723827077738</v>
      </c>
    </row>
    <row r="29" spans="2:18">
      <c r="B29" s="9">
        <v>125.89254117941677</v>
      </c>
      <c r="C29" s="15">
        <f t="shared" si="16"/>
        <v>62.162276172922262</v>
      </c>
      <c r="D29" s="15">
        <f t="shared" si="16"/>
        <v>0</v>
      </c>
      <c r="E29" s="15">
        <f t="shared" si="16"/>
        <v>0</v>
      </c>
      <c r="F29" s="15">
        <f t="shared" si="16"/>
        <v>-16</v>
      </c>
      <c r="G29" s="15">
        <f t="shared" si="16"/>
        <v>0</v>
      </c>
      <c r="H29" s="15">
        <f t="shared" si="16"/>
        <v>0</v>
      </c>
      <c r="I29" s="20">
        <f t="shared" si="5"/>
        <v>46.162276172922262</v>
      </c>
      <c r="J29" s="3" t="str">
        <f t="shared" si="6"/>
        <v>0</v>
      </c>
      <c r="K29" s="9">
        <v>125.89254117941677</v>
      </c>
      <c r="L29" s="15">
        <f t="shared" si="10"/>
        <v>62.162276172922262</v>
      </c>
      <c r="M29" s="15">
        <f t="shared" si="11"/>
        <v>0</v>
      </c>
      <c r="N29" s="15">
        <f t="shared" si="12"/>
        <v>0</v>
      </c>
      <c r="O29" s="15">
        <f t="shared" si="13"/>
        <v>-81</v>
      </c>
      <c r="P29" s="15">
        <f t="shared" si="14"/>
        <v>0</v>
      </c>
      <c r="Q29" s="15">
        <f t="shared" si="15"/>
        <v>0</v>
      </c>
      <c r="R29" s="16">
        <f t="shared" si="7"/>
        <v>-18.837723827077738</v>
      </c>
    </row>
    <row r="30" spans="2:18">
      <c r="B30" s="9">
        <v>158.48931924611153</v>
      </c>
      <c r="C30" s="15">
        <f t="shared" si="16"/>
        <v>62.162276172922262</v>
      </c>
      <c r="D30" s="15">
        <f t="shared" si="16"/>
        <v>0</v>
      </c>
      <c r="E30" s="15">
        <f t="shared" si="16"/>
        <v>0</v>
      </c>
      <c r="F30" s="15">
        <f t="shared" si="16"/>
        <v>-18</v>
      </c>
      <c r="G30" s="15">
        <f t="shared" si="16"/>
        <v>0</v>
      </c>
      <c r="H30" s="15">
        <f t="shared" si="16"/>
        <v>0</v>
      </c>
      <c r="I30" s="20">
        <f t="shared" si="5"/>
        <v>44.162276172922262</v>
      </c>
      <c r="J30" s="3" t="str">
        <f t="shared" si="6"/>
        <v>0</v>
      </c>
      <c r="K30" s="9">
        <v>158.48931924611153</v>
      </c>
      <c r="L30" s="15">
        <f t="shared" si="10"/>
        <v>62.162276172922262</v>
      </c>
      <c r="M30" s="15">
        <f t="shared" si="11"/>
        <v>0</v>
      </c>
      <c r="N30" s="15">
        <f t="shared" si="12"/>
        <v>0</v>
      </c>
      <c r="O30" s="15">
        <f t="shared" si="13"/>
        <v>-85.5</v>
      </c>
      <c r="P30" s="15">
        <f t="shared" si="14"/>
        <v>0</v>
      </c>
      <c r="Q30" s="15">
        <f t="shared" si="15"/>
        <v>0</v>
      </c>
      <c r="R30" s="16">
        <f t="shared" si="7"/>
        <v>-23.337723827077738</v>
      </c>
    </row>
    <row r="31" spans="2:18">
      <c r="B31" s="9">
        <v>199.52623149688819</v>
      </c>
      <c r="C31" s="15">
        <f t="shared" si="16"/>
        <v>62.162276172922262</v>
      </c>
      <c r="D31" s="15">
        <f t="shared" si="16"/>
        <v>0</v>
      </c>
      <c r="E31" s="15">
        <f t="shared" si="16"/>
        <v>0</v>
      </c>
      <c r="F31" s="15">
        <f t="shared" si="16"/>
        <v>-20</v>
      </c>
      <c r="G31" s="15">
        <f t="shared" si="16"/>
        <v>0</v>
      </c>
      <c r="H31" s="15">
        <f t="shared" si="16"/>
        <v>0</v>
      </c>
      <c r="I31" s="20">
        <f t="shared" si="5"/>
        <v>42.162276172922262</v>
      </c>
      <c r="J31" s="3" t="str">
        <f t="shared" si="6"/>
        <v>0</v>
      </c>
      <c r="K31" s="9">
        <v>199.52623149688819</v>
      </c>
      <c r="L31" s="15">
        <f t="shared" si="10"/>
        <v>62.162276172922262</v>
      </c>
      <c r="M31" s="15">
        <f t="shared" si="11"/>
        <v>0</v>
      </c>
      <c r="N31" s="15">
        <f t="shared" si="12"/>
        <v>0</v>
      </c>
      <c r="O31" s="15">
        <f t="shared" si="13"/>
        <v>-90</v>
      </c>
      <c r="P31" s="15">
        <f t="shared" si="14"/>
        <v>0</v>
      </c>
      <c r="Q31" s="15">
        <f t="shared" si="15"/>
        <v>0</v>
      </c>
      <c r="R31" s="16">
        <f t="shared" si="7"/>
        <v>-27.837723827077738</v>
      </c>
    </row>
    <row r="32" spans="2:18">
      <c r="B32" s="9">
        <v>251.18864315095828</v>
      </c>
      <c r="C32" s="15">
        <f t="shared" si="16"/>
        <v>62.162276172922262</v>
      </c>
      <c r="D32" s="15">
        <f t="shared" si="16"/>
        <v>0</v>
      </c>
      <c r="E32" s="15">
        <f t="shared" si="16"/>
        <v>0</v>
      </c>
      <c r="F32" s="15">
        <f t="shared" si="16"/>
        <v>-22</v>
      </c>
      <c r="G32" s="15">
        <f t="shared" si="16"/>
        <v>0</v>
      </c>
      <c r="H32" s="15">
        <f t="shared" si="16"/>
        <v>0</v>
      </c>
      <c r="I32" s="20">
        <f t="shared" si="5"/>
        <v>40.162276172922262</v>
      </c>
      <c r="J32" s="3" t="str">
        <f t="shared" si="6"/>
        <v>0</v>
      </c>
      <c r="K32" s="9">
        <v>251.18864315095828</v>
      </c>
      <c r="L32" s="15">
        <f t="shared" si="10"/>
        <v>62.162276172922262</v>
      </c>
      <c r="M32" s="15">
        <f t="shared" si="11"/>
        <v>0</v>
      </c>
      <c r="N32" s="15">
        <f t="shared" si="12"/>
        <v>0</v>
      </c>
      <c r="O32" s="15">
        <f t="shared" si="13"/>
        <v>-90</v>
      </c>
      <c r="P32" s="15">
        <f t="shared" si="14"/>
        <v>0</v>
      </c>
      <c r="Q32" s="15">
        <f t="shared" si="15"/>
        <v>0</v>
      </c>
      <c r="R32" s="16">
        <f t="shared" si="7"/>
        <v>-27.837723827077738</v>
      </c>
    </row>
    <row r="33" spans="2:18">
      <c r="B33" s="9">
        <v>316.22776601683825</v>
      </c>
      <c r="C33" s="15">
        <f t="shared" si="16"/>
        <v>62.162276172922262</v>
      </c>
      <c r="D33" s="15">
        <f t="shared" si="16"/>
        <v>0</v>
      </c>
      <c r="E33" s="15">
        <f t="shared" si="16"/>
        <v>0</v>
      </c>
      <c r="F33" s="15">
        <f t="shared" si="16"/>
        <v>-24</v>
      </c>
      <c r="G33" s="15">
        <f t="shared" si="16"/>
        <v>0</v>
      </c>
      <c r="H33" s="15">
        <f t="shared" si="16"/>
        <v>0</v>
      </c>
      <c r="I33" s="20">
        <f t="shared" si="5"/>
        <v>38.162276172922262</v>
      </c>
      <c r="J33" s="3" t="str">
        <f t="shared" si="6"/>
        <v>0</v>
      </c>
      <c r="K33" s="9">
        <v>316.22776601683825</v>
      </c>
      <c r="L33" s="15">
        <f t="shared" si="10"/>
        <v>62.162276172922262</v>
      </c>
      <c r="M33" s="15">
        <f t="shared" si="11"/>
        <v>0</v>
      </c>
      <c r="N33" s="15">
        <f t="shared" si="12"/>
        <v>0</v>
      </c>
      <c r="O33" s="15">
        <f t="shared" si="13"/>
        <v>-90</v>
      </c>
      <c r="P33" s="15">
        <f t="shared" si="14"/>
        <v>0</v>
      </c>
      <c r="Q33" s="15">
        <f t="shared" si="15"/>
        <v>0</v>
      </c>
      <c r="R33" s="16">
        <f t="shared" si="7"/>
        <v>-27.837723827077738</v>
      </c>
    </row>
    <row r="34" spans="2:18">
      <c r="B34" s="9">
        <v>398.10717055349761</v>
      </c>
      <c r="C34" s="15">
        <f t="shared" si="16"/>
        <v>62.162276172922262</v>
      </c>
      <c r="D34" s="15">
        <f t="shared" si="16"/>
        <v>0</v>
      </c>
      <c r="E34" s="15">
        <f t="shared" si="16"/>
        <v>0</v>
      </c>
      <c r="F34" s="15">
        <f t="shared" si="16"/>
        <v>-26</v>
      </c>
      <c r="G34" s="15">
        <f t="shared" si="16"/>
        <v>0</v>
      </c>
      <c r="H34" s="15">
        <f t="shared" si="16"/>
        <v>0</v>
      </c>
      <c r="I34" s="20">
        <f t="shared" si="5"/>
        <v>36.162276172922262</v>
      </c>
      <c r="J34" s="3" t="str">
        <f t="shared" si="6"/>
        <v>0</v>
      </c>
      <c r="K34" s="9">
        <v>398.10717055349761</v>
      </c>
      <c r="L34" s="15">
        <f t="shared" si="10"/>
        <v>62.162276172922262</v>
      </c>
      <c r="M34" s="15">
        <f t="shared" si="11"/>
        <v>0</v>
      </c>
      <c r="N34" s="15">
        <f t="shared" si="12"/>
        <v>0</v>
      </c>
      <c r="O34" s="15">
        <f t="shared" si="13"/>
        <v>-90</v>
      </c>
      <c r="P34" s="15">
        <f t="shared" si="14"/>
        <v>0</v>
      </c>
      <c r="Q34" s="15">
        <f t="shared" si="15"/>
        <v>0</v>
      </c>
      <c r="R34" s="16">
        <f t="shared" si="7"/>
        <v>-27.837723827077738</v>
      </c>
    </row>
    <row r="35" spans="2:18">
      <c r="B35" s="9">
        <v>501.18723362727269</v>
      </c>
      <c r="C35" s="15">
        <f t="shared" si="16"/>
        <v>62.162276172922262</v>
      </c>
      <c r="D35" s="15">
        <f t="shared" si="16"/>
        <v>0</v>
      </c>
      <c r="E35" s="15">
        <f t="shared" si="16"/>
        <v>0</v>
      </c>
      <c r="F35" s="15">
        <f t="shared" si="16"/>
        <v>-28</v>
      </c>
      <c r="G35" s="15">
        <f t="shared" si="16"/>
        <v>0</v>
      </c>
      <c r="H35" s="15">
        <f t="shared" si="16"/>
        <v>0</v>
      </c>
      <c r="I35" s="20">
        <f t="shared" si="5"/>
        <v>34.162276172922262</v>
      </c>
      <c r="J35" s="3" t="str">
        <f t="shared" si="6"/>
        <v>0</v>
      </c>
      <c r="K35" s="9">
        <v>501.18723362727269</v>
      </c>
      <c r="L35" s="15">
        <f t="shared" si="10"/>
        <v>62.162276172922262</v>
      </c>
      <c r="M35" s="15">
        <f t="shared" si="11"/>
        <v>-4.5</v>
      </c>
      <c r="N35" s="15">
        <f t="shared" si="12"/>
        <v>0</v>
      </c>
      <c r="O35" s="15">
        <f t="shared" si="13"/>
        <v>-90</v>
      </c>
      <c r="P35" s="15">
        <f t="shared" si="14"/>
        <v>0</v>
      </c>
      <c r="Q35" s="15">
        <f t="shared" si="15"/>
        <v>4.5</v>
      </c>
      <c r="R35" s="16">
        <f t="shared" si="7"/>
        <v>-27.837723827077738</v>
      </c>
    </row>
    <row r="36" spans="2:18">
      <c r="B36" s="9">
        <v>630.9573444801938</v>
      </c>
      <c r="C36" s="15">
        <f t="shared" si="16"/>
        <v>62.162276172922262</v>
      </c>
      <c r="D36" s="15">
        <f t="shared" si="16"/>
        <v>0</v>
      </c>
      <c r="E36" s="15">
        <f t="shared" si="16"/>
        <v>0</v>
      </c>
      <c r="F36" s="15">
        <f t="shared" si="16"/>
        <v>-30</v>
      </c>
      <c r="G36" s="15">
        <f t="shared" si="16"/>
        <v>0</v>
      </c>
      <c r="H36" s="15">
        <f t="shared" si="16"/>
        <v>0</v>
      </c>
      <c r="I36" s="20">
        <f t="shared" si="5"/>
        <v>32.162276172922262</v>
      </c>
      <c r="J36" s="3" t="str">
        <f t="shared" si="6"/>
        <v>0</v>
      </c>
      <c r="K36" s="9">
        <v>630.9573444801938</v>
      </c>
      <c r="L36" s="15">
        <f t="shared" si="10"/>
        <v>62.162276172922262</v>
      </c>
      <c r="M36" s="15">
        <f t="shared" si="11"/>
        <v>-9</v>
      </c>
      <c r="N36" s="15">
        <f t="shared" si="12"/>
        <v>0</v>
      </c>
      <c r="O36" s="15">
        <f t="shared" si="13"/>
        <v>-90</v>
      </c>
      <c r="P36" s="15">
        <f t="shared" si="14"/>
        <v>0</v>
      </c>
      <c r="Q36" s="15">
        <f t="shared" si="15"/>
        <v>9</v>
      </c>
      <c r="R36" s="16">
        <f t="shared" si="7"/>
        <v>-27.837723827077738</v>
      </c>
    </row>
    <row r="37" spans="2:18">
      <c r="B37" s="9">
        <v>794.32823472428277</v>
      </c>
      <c r="C37" s="15">
        <f t="shared" si="16"/>
        <v>62.162276172922262</v>
      </c>
      <c r="D37" s="15">
        <f t="shared" si="16"/>
        <v>0</v>
      </c>
      <c r="E37" s="15">
        <f t="shared" si="16"/>
        <v>0</v>
      </c>
      <c r="F37" s="15">
        <f t="shared" si="16"/>
        <v>-32</v>
      </c>
      <c r="G37" s="15">
        <f t="shared" si="16"/>
        <v>0</v>
      </c>
      <c r="H37" s="15">
        <f t="shared" si="16"/>
        <v>0</v>
      </c>
      <c r="I37" s="20">
        <f t="shared" si="5"/>
        <v>30.162276172922262</v>
      </c>
      <c r="J37" s="3" t="str">
        <f t="shared" si="6"/>
        <v>0</v>
      </c>
      <c r="K37" s="9">
        <v>794.32823472428277</v>
      </c>
      <c r="L37" s="15">
        <f t="shared" si="10"/>
        <v>62.162276172922262</v>
      </c>
      <c r="M37" s="15">
        <f t="shared" si="11"/>
        <v>-13.5</v>
      </c>
      <c r="N37" s="15">
        <f t="shared" si="12"/>
        <v>0</v>
      </c>
      <c r="O37" s="15">
        <f t="shared" si="13"/>
        <v>-90</v>
      </c>
      <c r="P37" s="15">
        <f t="shared" si="14"/>
        <v>0</v>
      </c>
      <c r="Q37" s="15">
        <f t="shared" si="15"/>
        <v>13.5</v>
      </c>
      <c r="R37" s="16">
        <f t="shared" si="7"/>
        <v>-27.837723827077738</v>
      </c>
    </row>
    <row r="38" spans="2:18">
      <c r="B38" s="9">
        <v>1000</v>
      </c>
      <c r="C38" s="15">
        <f t="shared" si="16"/>
        <v>62.162276172922262</v>
      </c>
      <c r="D38" s="15">
        <f t="shared" si="16"/>
        <v>0</v>
      </c>
      <c r="E38" s="15">
        <f t="shared" si="16"/>
        <v>0</v>
      </c>
      <c r="F38" s="15">
        <f t="shared" si="16"/>
        <v>-34</v>
      </c>
      <c r="G38" s="15">
        <f t="shared" si="16"/>
        <v>0</v>
      </c>
      <c r="H38" s="15">
        <f t="shared" si="16"/>
        <v>0</v>
      </c>
      <c r="I38" s="20">
        <f t="shared" si="5"/>
        <v>28.162276172922262</v>
      </c>
      <c r="J38" s="3" t="str">
        <f t="shared" si="6"/>
        <v>0</v>
      </c>
      <c r="K38" s="9">
        <v>1000</v>
      </c>
      <c r="L38" s="15">
        <f t="shared" si="10"/>
        <v>62.162276172922262</v>
      </c>
      <c r="M38" s="15">
        <f t="shared" si="11"/>
        <v>-18</v>
      </c>
      <c r="N38" s="15">
        <f t="shared" si="12"/>
        <v>0</v>
      </c>
      <c r="O38" s="15">
        <f t="shared" si="13"/>
        <v>-90</v>
      </c>
      <c r="P38" s="15">
        <f t="shared" si="14"/>
        <v>0</v>
      </c>
      <c r="Q38" s="15">
        <f t="shared" si="15"/>
        <v>18</v>
      </c>
      <c r="R38" s="16">
        <f t="shared" si="7"/>
        <v>-27.837723827077738</v>
      </c>
    </row>
    <row r="39" spans="2:18">
      <c r="B39" s="9">
        <v>1258.925411794168</v>
      </c>
      <c r="C39" s="15">
        <f t="shared" si="16"/>
        <v>62.162276172922262</v>
      </c>
      <c r="D39" s="15">
        <f t="shared" si="16"/>
        <v>0</v>
      </c>
      <c r="E39" s="15">
        <f t="shared" si="16"/>
        <v>0</v>
      </c>
      <c r="F39" s="15">
        <f t="shared" si="16"/>
        <v>-36</v>
      </c>
      <c r="G39" s="15">
        <f t="shared" si="16"/>
        <v>0</v>
      </c>
      <c r="H39" s="15">
        <f t="shared" si="16"/>
        <v>0</v>
      </c>
      <c r="I39" s="20">
        <f t="shared" si="5"/>
        <v>26.162276172922262</v>
      </c>
      <c r="J39" s="3" t="str">
        <f t="shared" si="6"/>
        <v>0</v>
      </c>
      <c r="K39" s="9">
        <v>1258.925411794168</v>
      </c>
      <c r="L39" s="15">
        <f t="shared" si="10"/>
        <v>62.162276172922262</v>
      </c>
      <c r="M39" s="15">
        <f t="shared" si="11"/>
        <v>-22.5</v>
      </c>
      <c r="N39" s="15">
        <f t="shared" si="12"/>
        <v>0</v>
      </c>
      <c r="O39" s="15">
        <f t="shared" si="13"/>
        <v>-90</v>
      </c>
      <c r="P39" s="15">
        <f t="shared" si="14"/>
        <v>0</v>
      </c>
      <c r="Q39" s="15">
        <f t="shared" si="15"/>
        <v>22.5</v>
      </c>
      <c r="R39" s="16">
        <f t="shared" si="7"/>
        <v>-27.837723827077738</v>
      </c>
    </row>
    <row r="40" spans="2:18">
      <c r="B40" s="9">
        <v>1584.8931924611156</v>
      </c>
      <c r="C40" s="15">
        <f t="shared" si="16"/>
        <v>62.162276172922262</v>
      </c>
      <c r="D40" s="15">
        <f t="shared" si="16"/>
        <v>0</v>
      </c>
      <c r="E40" s="15">
        <f t="shared" si="16"/>
        <v>0</v>
      </c>
      <c r="F40" s="15">
        <f t="shared" si="16"/>
        <v>-38</v>
      </c>
      <c r="G40" s="15">
        <f t="shared" si="16"/>
        <v>0</v>
      </c>
      <c r="H40" s="15">
        <f t="shared" si="16"/>
        <v>0</v>
      </c>
      <c r="I40" s="20">
        <f t="shared" ref="I40:I69" si="17">SUM(C40:H40)</f>
        <v>24.162276172922262</v>
      </c>
      <c r="J40" s="3" t="str">
        <f t="shared" ref="J40:J69" si="18">IF(AND($I40&lt;0,$I39&gt;0),$B40,"0")</f>
        <v>0</v>
      </c>
      <c r="K40" s="9">
        <v>1584.8931924611156</v>
      </c>
      <c r="L40" s="15">
        <f t="shared" si="10"/>
        <v>62.162276172922262</v>
      </c>
      <c r="M40" s="15">
        <f t="shared" si="11"/>
        <v>-27</v>
      </c>
      <c r="N40" s="15">
        <f t="shared" si="12"/>
        <v>0</v>
      </c>
      <c r="O40" s="15">
        <f t="shared" si="13"/>
        <v>-90</v>
      </c>
      <c r="P40" s="15">
        <f t="shared" si="14"/>
        <v>0</v>
      </c>
      <c r="Q40" s="15">
        <f t="shared" si="15"/>
        <v>27</v>
      </c>
      <c r="R40" s="16">
        <f t="shared" ref="R40:R69" si="19">SUM(L40:Q40)</f>
        <v>-27.837723827077738</v>
      </c>
    </row>
    <row r="41" spans="2:18">
      <c r="B41" s="9">
        <v>1995.2623149688823</v>
      </c>
      <c r="C41" s="15">
        <f t="shared" ref="C41:H56" si="20">IF(OR(ISNUMBER(C$4),ISNUMBER(C$5)),IF(ISNUMBER(C$4),IF($B41&gt;C$4,C40-2,C40),IF($B41&gt;C$5,C40+2,C40)),C40)</f>
        <v>62.162276172922262</v>
      </c>
      <c r="D41" s="15">
        <f t="shared" si="20"/>
        <v>0</v>
      </c>
      <c r="E41" s="15">
        <f t="shared" si="20"/>
        <v>0</v>
      </c>
      <c r="F41" s="15">
        <f t="shared" si="20"/>
        <v>-40</v>
      </c>
      <c r="G41" s="15">
        <f t="shared" si="20"/>
        <v>0</v>
      </c>
      <c r="H41" s="15">
        <f t="shared" si="20"/>
        <v>0</v>
      </c>
      <c r="I41" s="20">
        <f t="shared" si="17"/>
        <v>22.162276172922262</v>
      </c>
      <c r="J41" s="3" t="str">
        <f t="shared" si="18"/>
        <v>0</v>
      </c>
      <c r="K41" s="9">
        <v>1995.2623149688823</v>
      </c>
      <c r="L41" s="15">
        <f t="shared" ref="L41:L69" si="21">IF(OR(ISNUMBER(L$4),ISNUMBER(L$5)),IF(ISNUMBER(L$4),IF(AND($K41&gt;L$4/10,$K41&lt;L$4*10),L40-4.5,L40),IF(AND($K41&gt;L$5/10,$K41&lt;L$5*10),L40+4.5,L40)),L40)</f>
        <v>62.162276172922262</v>
      </c>
      <c r="M41" s="15">
        <f t="shared" ref="M41:M69" si="22">IF(OR(ISNUMBER(M$4),ISNUMBER(M$5)),IF(ISNUMBER(M$4),IF(AND($K41&gt;M$4/10,$K41&lt;M$4*10),M40-4.5,M40),IF(AND($K41&gt;M$5/10,$K41&lt;M$5*10),M40+4.5,M40)),M40)</f>
        <v>-31.5</v>
      </c>
      <c r="N41" s="15">
        <f t="shared" ref="N41:N69" si="23">IF(OR(ISNUMBER(N$4),ISNUMBER(N$5)),IF(ISNUMBER(N$4),IF(AND($K41&gt;N$4/10,$K41&lt;N$4*10),N40-4.5,N40),IF(AND($K41&gt;N$5/10,$K41&lt;N$5*10),N40+4.5,N40)),N40)</f>
        <v>0</v>
      </c>
      <c r="O41" s="15">
        <f t="shared" ref="O41:O69" si="24">IF(OR(ISNUMBER(O$4),ISNUMBER(O$5)),IF(ISNUMBER(O$4),IF(AND($K41&gt;O$4/10,$K41&lt;O$4*10),O40-4.5,O40),IF(AND($K41&gt;O$5/10,$K41&lt;O$5*10),O40+4.5,O40)),O40)</f>
        <v>-90</v>
      </c>
      <c r="P41" s="15">
        <f t="shared" ref="P41:P69" si="25">IF(OR(ISNUMBER(P$4),ISNUMBER(P$5)),IF(ISNUMBER(P$4),IF(AND($K41&gt;P$4/10,$K41&lt;P$4*10),P40-4.5,P40),IF(AND($K41&gt;P$5/10,$K41&lt;P$5*10),P40+4.5,P40)),P40)</f>
        <v>0</v>
      </c>
      <c r="Q41" s="15">
        <f t="shared" ref="Q41:Q69" si="26">IF(OR(ISNUMBER(Q$4),ISNUMBER(Q$5)),IF(ISNUMBER(Q$4),IF(AND($K41&gt;Q$4/10,$K41&lt;Q$4*10),Q40-4.5,Q40),IF(AND($K41&gt;Q$5/10,$K41&lt;Q$5*10),Q40+4.5,Q40)),Q40)</f>
        <v>31.5</v>
      </c>
      <c r="R41" s="16">
        <f t="shared" si="19"/>
        <v>-27.837723827077738</v>
      </c>
    </row>
    <row r="42" spans="2:18">
      <c r="B42" s="9">
        <v>2511.8864315095834</v>
      </c>
      <c r="C42" s="15">
        <f t="shared" si="20"/>
        <v>62.162276172922262</v>
      </c>
      <c r="D42" s="15">
        <f t="shared" si="20"/>
        <v>0</v>
      </c>
      <c r="E42" s="15">
        <f t="shared" si="20"/>
        <v>0</v>
      </c>
      <c r="F42" s="15">
        <f t="shared" si="20"/>
        <v>-42</v>
      </c>
      <c r="G42" s="15">
        <f t="shared" si="20"/>
        <v>0</v>
      </c>
      <c r="H42" s="15">
        <f t="shared" si="20"/>
        <v>0</v>
      </c>
      <c r="I42" s="20">
        <f t="shared" si="17"/>
        <v>20.162276172922262</v>
      </c>
      <c r="J42" s="3" t="str">
        <f t="shared" si="18"/>
        <v>0</v>
      </c>
      <c r="K42" s="9">
        <v>2511.8864315095834</v>
      </c>
      <c r="L42" s="15">
        <f t="shared" si="21"/>
        <v>62.162276172922262</v>
      </c>
      <c r="M42" s="15">
        <f t="shared" si="22"/>
        <v>-36</v>
      </c>
      <c r="N42" s="15">
        <f t="shared" si="23"/>
        <v>0</v>
      </c>
      <c r="O42" s="15">
        <f t="shared" si="24"/>
        <v>-90</v>
      </c>
      <c r="P42" s="15">
        <f t="shared" si="25"/>
        <v>0</v>
      </c>
      <c r="Q42" s="15">
        <f t="shared" si="26"/>
        <v>36</v>
      </c>
      <c r="R42" s="16">
        <f t="shared" si="19"/>
        <v>-27.837723827077738</v>
      </c>
    </row>
    <row r="43" spans="2:18">
      <c r="B43" s="9">
        <v>3162.2776601683804</v>
      </c>
      <c r="C43" s="15">
        <f t="shared" si="20"/>
        <v>62.162276172922262</v>
      </c>
      <c r="D43" s="15">
        <f t="shared" si="20"/>
        <v>0</v>
      </c>
      <c r="E43" s="15">
        <f t="shared" si="20"/>
        <v>0</v>
      </c>
      <c r="F43" s="15">
        <f t="shared" si="20"/>
        <v>-44</v>
      </c>
      <c r="G43" s="15">
        <f t="shared" si="20"/>
        <v>0</v>
      </c>
      <c r="H43" s="15">
        <f t="shared" si="20"/>
        <v>0</v>
      </c>
      <c r="I43" s="20">
        <f t="shared" si="17"/>
        <v>18.162276172922262</v>
      </c>
      <c r="J43" s="3" t="str">
        <f t="shared" si="18"/>
        <v>0</v>
      </c>
      <c r="K43" s="9">
        <v>3162.2776601683804</v>
      </c>
      <c r="L43" s="15">
        <f t="shared" si="21"/>
        <v>62.162276172922262</v>
      </c>
      <c r="M43" s="15">
        <f t="shared" si="22"/>
        <v>-40.5</v>
      </c>
      <c r="N43" s="15">
        <f t="shared" si="23"/>
        <v>0</v>
      </c>
      <c r="O43" s="15">
        <f t="shared" si="24"/>
        <v>-90</v>
      </c>
      <c r="P43" s="15">
        <f t="shared" si="25"/>
        <v>0</v>
      </c>
      <c r="Q43" s="15">
        <f t="shared" si="26"/>
        <v>40.5</v>
      </c>
      <c r="R43" s="16">
        <f t="shared" si="19"/>
        <v>-27.837723827077738</v>
      </c>
    </row>
    <row r="44" spans="2:18">
      <c r="B44" s="9">
        <v>3981.0717055349769</v>
      </c>
      <c r="C44" s="15">
        <f t="shared" si="20"/>
        <v>62.162276172922262</v>
      </c>
      <c r="D44" s="15">
        <f t="shared" si="20"/>
        <v>0</v>
      </c>
      <c r="E44" s="15">
        <f t="shared" si="20"/>
        <v>0</v>
      </c>
      <c r="F44" s="15">
        <f t="shared" si="20"/>
        <v>-46</v>
      </c>
      <c r="G44" s="15">
        <f t="shared" si="20"/>
        <v>0</v>
      </c>
      <c r="H44" s="15">
        <f t="shared" si="20"/>
        <v>0</v>
      </c>
      <c r="I44" s="20">
        <f t="shared" si="17"/>
        <v>16.162276172922262</v>
      </c>
      <c r="J44" s="3" t="str">
        <f t="shared" si="18"/>
        <v>0</v>
      </c>
      <c r="K44" s="9">
        <v>3981.0717055349769</v>
      </c>
      <c r="L44" s="15">
        <f t="shared" si="21"/>
        <v>62.162276172922262</v>
      </c>
      <c r="M44" s="15">
        <f t="shared" si="22"/>
        <v>-45</v>
      </c>
      <c r="N44" s="15">
        <f t="shared" si="23"/>
        <v>0</v>
      </c>
      <c r="O44" s="15">
        <f t="shared" si="24"/>
        <v>-90</v>
      </c>
      <c r="P44" s="15">
        <f t="shared" si="25"/>
        <v>0</v>
      </c>
      <c r="Q44" s="15">
        <f t="shared" si="26"/>
        <v>45</v>
      </c>
      <c r="R44" s="16">
        <f t="shared" si="19"/>
        <v>-27.837723827077738</v>
      </c>
    </row>
    <row r="45" spans="2:18">
      <c r="B45" s="9">
        <v>5011.8723362727324</v>
      </c>
      <c r="C45" s="15">
        <f t="shared" si="20"/>
        <v>62.162276172922262</v>
      </c>
      <c r="D45" s="15">
        <f t="shared" si="20"/>
        <v>-2</v>
      </c>
      <c r="E45" s="15">
        <f t="shared" si="20"/>
        <v>0</v>
      </c>
      <c r="F45" s="15">
        <f t="shared" si="20"/>
        <v>-48</v>
      </c>
      <c r="G45" s="15">
        <f t="shared" si="20"/>
        <v>0</v>
      </c>
      <c r="H45" s="15">
        <f t="shared" si="20"/>
        <v>2</v>
      </c>
      <c r="I45" s="20">
        <f t="shared" si="17"/>
        <v>14.162276172922262</v>
      </c>
      <c r="J45" s="3" t="str">
        <f t="shared" si="18"/>
        <v>0</v>
      </c>
      <c r="K45" s="9">
        <v>5011.8723362727324</v>
      </c>
      <c r="L45" s="15">
        <f t="shared" si="21"/>
        <v>62.162276172922262</v>
      </c>
      <c r="M45" s="15">
        <f t="shared" si="22"/>
        <v>-49.5</v>
      </c>
      <c r="N45" s="15">
        <f t="shared" si="23"/>
        <v>0</v>
      </c>
      <c r="O45" s="15">
        <f t="shared" si="24"/>
        <v>-90</v>
      </c>
      <c r="P45" s="15">
        <f t="shared" si="25"/>
        <v>0</v>
      </c>
      <c r="Q45" s="15">
        <f t="shared" si="26"/>
        <v>49.5</v>
      </c>
      <c r="R45" s="16">
        <f t="shared" si="19"/>
        <v>-27.837723827077738</v>
      </c>
    </row>
    <row r="46" spans="2:18">
      <c r="B46" s="9">
        <v>6309.5734448019384</v>
      </c>
      <c r="C46" s="15">
        <f t="shared" si="20"/>
        <v>62.162276172922262</v>
      </c>
      <c r="D46" s="15">
        <f t="shared" si="20"/>
        <v>-4</v>
      </c>
      <c r="E46" s="15">
        <f t="shared" si="20"/>
        <v>0</v>
      </c>
      <c r="F46" s="15">
        <f t="shared" si="20"/>
        <v>-50</v>
      </c>
      <c r="G46" s="15">
        <f t="shared" si="20"/>
        <v>0</v>
      </c>
      <c r="H46" s="15">
        <f t="shared" si="20"/>
        <v>4</v>
      </c>
      <c r="I46" s="20">
        <f t="shared" si="17"/>
        <v>12.162276172922262</v>
      </c>
      <c r="J46" s="3" t="str">
        <f t="shared" si="18"/>
        <v>0</v>
      </c>
      <c r="K46" s="9">
        <v>6309.5734448019384</v>
      </c>
      <c r="L46" s="15">
        <f t="shared" si="21"/>
        <v>62.162276172922262</v>
      </c>
      <c r="M46" s="15">
        <f t="shared" si="22"/>
        <v>-54</v>
      </c>
      <c r="N46" s="15">
        <f t="shared" si="23"/>
        <v>0</v>
      </c>
      <c r="O46" s="15">
        <f t="shared" si="24"/>
        <v>-90</v>
      </c>
      <c r="P46" s="15">
        <f t="shared" si="25"/>
        <v>0</v>
      </c>
      <c r="Q46" s="15">
        <f t="shared" si="26"/>
        <v>54</v>
      </c>
      <c r="R46" s="16">
        <f t="shared" si="19"/>
        <v>-27.837723827077738</v>
      </c>
    </row>
    <row r="47" spans="2:18">
      <c r="B47" s="9">
        <v>7943.2823472428299</v>
      </c>
      <c r="C47" s="15">
        <f t="shared" si="20"/>
        <v>62.162276172922262</v>
      </c>
      <c r="D47" s="15">
        <f t="shared" si="20"/>
        <v>-6</v>
      </c>
      <c r="E47" s="15">
        <f t="shared" si="20"/>
        <v>0</v>
      </c>
      <c r="F47" s="15">
        <f t="shared" si="20"/>
        <v>-52</v>
      </c>
      <c r="G47" s="15">
        <f t="shared" si="20"/>
        <v>0</v>
      </c>
      <c r="H47" s="15">
        <f t="shared" si="20"/>
        <v>6</v>
      </c>
      <c r="I47" s="20">
        <f t="shared" si="17"/>
        <v>10.162276172922262</v>
      </c>
      <c r="J47" s="3" t="str">
        <f t="shared" si="18"/>
        <v>0</v>
      </c>
      <c r="K47" s="9">
        <v>7943.2823472428299</v>
      </c>
      <c r="L47" s="15">
        <f t="shared" si="21"/>
        <v>62.162276172922262</v>
      </c>
      <c r="M47" s="15">
        <f t="shared" si="22"/>
        <v>-58.5</v>
      </c>
      <c r="N47" s="15">
        <f t="shared" si="23"/>
        <v>0</v>
      </c>
      <c r="O47" s="15">
        <f t="shared" si="24"/>
        <v>-90</v>
      </c>
      <c r="P47" s="15">
        <f t="shared" si="25"/>
        <v>0</v>
      </c>
      <c r="Q47" s="15">
        <f t="shared" si="26"/>
        <v>58.5</v>
      </c>
      <c r="R47" s="16">
        <f t="shared" si="19"/>
        <v>-27.837723827077738</v>
      </c>
    </row>
    <row r="48" spans="2:18">
      <c r="B48" s="9">
        <v>10000</v>
      </c>
      <c r="C48" s="15">
        <f t="shared" si="20"/>
        <v>62.162276172922262</v>
      </c>
      <c r="D48" s="15">
        <f t="shared" si="20"/>
        <v>-8</v>
      </c>
      <c r="E48" s="15">
        <f t="shared" si="20"/>
        <v>0</v>
      </c>
      <c r="F48" s="15">
        <f t="shared" si="20"/>
        <v>-54</v>
      </c>
      <c r="G48" s="15">
        <f t="shared" si="20"/>
        <v>0</v>
      </c>
      <c r="H48" s="15">
        <f t="shared" si="20"/>
        <v>8</v>
      </c>
      <c r="I48" s="20">
        <f t="shared" si="17"/>
        <v>8.1622761729222617</v>
      </c>
      <c r="J48" s="3" t="str">
        <f t="shared" si="18"/>
        <v>0</v>
      </c>
      <c r="K48" s="9">
        <v>10000</v>
      </c>
      <c r="L48" s="15">
        <f t="shared" si="21"/>
        <v>62.162276172922262</v>
      </c>
      <c r="M48" s="15">
        <f t="shared" si="22"/>
        <v>-63</v>
      </c>
      <c r="N48" s="15">
        <f t="shared" si="23"/>
        <v>0</v>
      </c>
      <c r="O48" s="15">
        <f t="shared" si="24"/>
        <v>-90</v>
      </c>
      <c r="P48" s="15">
        <f t="shared" si="25"/>
        <v>0</v>
      </c>
      <c r="Q48" s="15">
        <f t="shared" si="26"/>
        <v>63</v>
      </c>
      <c r="R48" s="16">
        <f t="shared" si="19"/>
        <v>-27.837723827077738</v>
      </c>
    </row>
    <row r="49" spans="2:18">
      <c r="B49" s="9">
        <v>12589.254117941693</v>
      </c>
      <c r="C49" s="15">
        <f t="shared" si="20"/>
        <v>62.162276172922262</v>
      </c>
      <c r="D49" s="15">
        <f t="shared" si="20"/>
        <v>-10</v>
      </c>
      <c r="E49" s="15">
        <f t="shared" si="20"/>
        <v>0</v>
      </c>
      <c r="F49" s="15">
        <f t="shared" si="20"/>
        <v>-56</v>
      </c>
      <c r="G49" s="15">
        <f t="shared" si="20"/>
        <v>0</v>
      </c>
      <c r="H49" s="15">
        <f t="shared" si="20"/>
        <v>10</v>
      </c>
      <c r="I49" s="20">
        <f t="shared" si="17"/>
        <v>6.1622761729222617</v>
      </c>
      <c r="J49" s="3" t="str">
        <f t="shared" si="18"/>
        <v>0</v>
      </c>
      <c r="K49" s="9">
        <v>12589.254117941693</v>
      </c>
      <c r="L49" s="15">
        <f t="shared" si="21"/>
        <v>62.162276172922262</v>
      </c>
      <c r="M49" s="15">
        <f t="shared" si="22"/>
        <v>-67.5</v>
      </c>
      <c r="N49" s="15">
        <f t="shared" si="23"/>
        <v>0</v>
      </c>
      <c r="O49" s="15">
        <f t="shared" si="24"/>
        <v>-90</v>
      </c>
      <c r="P49" s="15">
        <f t="shared" si="25"/>
        <v>0</v>
      </c>
      <c r="Q49" s="15">
        <f t="shared" si="26"/>
        <v>67.5</v>
      </c>
      <c r="R49" s="16">
        <f t="shared" si="19"/>
        <v>-27.837723827077738</v>
      </c>
    </row>
    <row r="50" spans="2:18">
      <c r="B50" s="9">
        <v>15848.931924611146</v>
      </c>
      <c r="C50" s="15">
        <f t="shared" si="20"/>
        <v>62.162276172922262</v>
      </c>
      <c r="D50" s="15">
        <f t="shared" si="20"/>
        <v>-12</v>
      </c>
      <c r="E50" s="15">
        <f t="shared" si="20"/>
        <v>0</v>
      </c>
      <c r="F50" s="15">
        <f t="shared" si="20"/>
        <v>-58</v>
      </c>
      <c r="G50" s="15">
        <f t="shared" si="20"/>
        <v>0</v>
      </c>
      <c r="H50" s="15">
        <f t="shared" si="20"/>
        <v>12</v>
      </c>
      <c r="I50" s="20">
        <f t="shared" si="17"/>
        <v>4.1622761729222617</v>
      </c>
      <c r="J50" s="3" t="str">
        <f t="shared" si="18"/>
        <v>0</v>
      </c>
      <c r="K50" s="9">
        <v>15848.931924611146</v>
      </c>
      <c r="L50" s="15">
        <f t="shared" si="21"/>
        <v>62.162276172922262</v>
      </c>
      <c r="M50" s="15">
        <f t="shared" si="22"/>
        <v>-72</v>
      </c>
      <c r="N50" s="15">
        <f t="shared" si="23"/>
        <v>0</v>
      </c>
      <c r="O50" s="15">
        <f t="shared" si="24"/>
        <v>-90</v>
      </c>
      <c r="P50" s="15">
        <f t="shared" si="25"/>
        <v>0</v>
      </c>
      <c r="Q50" s="15">
        <f t="shared" si="26"/>
        <v>72</v>
      </c>
      <c r="R50" s="16">
        <f t="shared" si="19"/>
        <v>-27.837723827077738</v>
      </c>
    </row>
    <row r="51" spans="2:18">
      <c r="B51" s="9">
        <v>19952.623149688792</v>
      </c>
      <c r="C51" s="15">
        <f t="shared" si="20"/>
        <v>62.162276172922262</v>
      </c>
      <c r="D51" s="15">
        <f t="shared" si="20"/>
        <v>-14</v>
      </c>
      <c r="E51" s="15">
        <f t="shared" si="20"/>
        <v>0</v>
      </c>
      <c r="F51" s="15">
        <f t="shared" si="20"/>
        <v>-60</v>
      </c>
      <c r="G51" s="15">
        <f t="shared" si="20"/>
        <v>0</v>
      </c>
      <c r="H51" s="15">
        <f t="shared" si="20"/>
        <v>14</v>
      </c>
      <c r="I51" s="20">
        <f t="shared" si="17"/>
        <v>2.1622761729222617</v>
      </c>
      <c r="J51" s="3" t="str">
        <f t="shared" si="18"/>
        <v>0</v>
      </c>
      <c r="K51" s="9">
        <v>19952.623149688792</v>
      </c>
      <c r="L51" s="15">
        <f t="shared" si="21"/>
        <v>62.162276172922262</v>
      </c>
      <c r="M51" s="15">
        <f t="shared" si="22"/>
        <v>-76.5</v>
      </c>
      <c r="N51" s="15">
        <f t="shared" si="23"/>
        <v>0</v>
      </c>
      <c r="O51" s="15">
        <f t="shared" si="24"/>
        <v>-90</v>
      </c>
      <c r="P51" s="15">
        <f t="shared" si="25"/>
        <v>0</v>
      </c>
      <c r="Q51" s="15">
        <f t="shared" si="26"/>
        <v>76.5</v>
      </c>
      <c r="R51" s="16">
        <f t="shared" si="19"/>
        <v>-27.837723827077738</v>
      </c>
    </row>
    <row r="52" spans="2:18">
      <c r="B52" s="9">
        <v>25118.86431509586</v>
      </c>
      <c r="C52" s="15">
        <f t="shared" si="20"/>
        <v>62.162276172922262</v>
      </c>
      <c r="D52" s="15">
        <f t="shared" si="20"/>
        <v>-16</v>
      </c>
      <c r="E52" s="15">
        <f t="shared" si="20"/>
        <v>0</v>
      </c>
      <c r="F52" s="15">
        <f t="shared" si="20"/>
        <v>-62</v>
      </c>
      <c r="G52" s="15">
        <f t="shared" si="20"/>
        <v>0</v>
      </c>
      <c r="H52" s="15">
        <f t="shared" si="20"/>
        <v>16</v>
      </c>
      <c r="I52" s="20">
        <f t="shared" si="17"/>
        <v>0.16227617292226171</v>
      </c>
      <c r="J52" s="3" t="str">
        <f t="shared" si="18"/>
        <v>0</v>
      </c>
      <c r="K52" s="9">
        <v>25118.86431509586</v>
      </c>
      <c r="L52" s="15">
        <f t="shared" si="21"/>
        <v>62.162276172922262</v>
      </c>
      <c r="M52" s="15">
        <f t="shared" si="22"/>
        <v>-81</v>
      </c>
      <c r="N52" s="15">
        <f t="shared" si="23"/>
        <v>0</v>
      </c>
      <c r="O52" s="15">
        <f t="shared" si="24"/>
        <v>-90</v>
      </c>
      <c r="P52" s="15">
        <f t="shared" si="25"/>
        <v>0</v>
      </c>
      <c r="Q52" s="15">
        <f t="shared" si="26"/>
        <v>81</v>
      </c>
      <c r="R52" s="16">
        <f t="shared" si="19"/>
        <v>-27.837723827077738</v>
      </c>
    </row>
    <row r="53" spans="2:18">
      <c r="B53" s="9">
        <v>31622.77660168384</v>
      </c>
      <c r="C53" s="15">
        <f t="shared" si="20"/>
        <v>62.162276172922262</v>
      </c>
      <c r="D53" s="15">
        <f t="shared" si="20"/>
        <v>-18</v>
      </c>
      <c r="E53" s="15">
        <f t="shared" si="20"/>
        <v>0</v>
      </c>
      <c r="F53" s="15">
        <f t="shared" si="20"/>
        <v>-64</v>
      </c>
      <c r="G53" s="15">
        <f t="shared" si="20"/>
        <v>0</v>
      </c>
      <c r="H53" s="15">
        <f t="shared" si="20"/>
        <v>18</v>
      </c>
      <c r="I53" s="20">
        <f t="shared" si="17"/>
        <v>-1.8377238270777383</v>
      </c>
      <c r="J53" s="3">
        <f t="shared" si="18"/>
        <v>31622.77660168384</v>
      </c>
      <c r="K53" s="9">
        <v>31622.77660168384</v>
      </c>
      <c r="L53" s="15">
        <f t="shared" si="21"/>
        <v>62.162276172922262</v>
      </c>
      <c r="M53" s="15">
        <f t="shared" si="22"/>
        <v>-85.5</v>
      </c>
      <c r="N53" s="15">
        <f t="shared" si="23"/>
        <v>0</v>
      </c>
      <c r="O53" s="15">
        <f t="shared" si="24"/>
        <v>-90</v>
      </c>
      <c r="P53" s="15">
        <f t="shared" si="25"/>
        <v>0</v>
      </c>
      <c r="Q53" s="15">
        <f t="shared" si="26"/>
        <v>85.5</v>
      </c>
      <c r="R53" s="16">
        <f t="shared" si="19"/>
        <v>-27.837723827077738</v>
      </c>
    </row>
    <row r="54" spans="2:18">
      <c r="B54" s="9">
        <v>39810.717055349814</v>
      </c>
      <c r="C54" s="15">
        <f t="shared" si="20"/>
        <v>62.162276172922262</v>
      </c>
      <c r="D54" s="15">
        <f t="shared" si="20"/>
        <v>-20</v>
      </c>
      <c r="E54" s="15">
        <f t="shared" si="20"/>
        <v>0</v>
      </c>
      <c r="F54" s="15">
        <f t="shared" si="20"/>
        <v>-66</v>
      </c>
      <c r="G54" s="15">
        <f t="shared" si="20"/>
        <v>0</v>
      </c>
      <c r="H54" s="15">
        <f t="shared" si="20"/>
        <v>20</v>
      </c>
      <c r="I54" s="20">
        <f t="shared" si="17"/>
        <v>-3.8377238270777383</v>
      </c>
      <c r="J54" s="3" t="str">
        <f t="shared" si="18"/>
        <v>0</v>
      </c>
      <c r="K54" s="9">
        <v>39810.717055349814</v>
      </c>
      <c r="L54" s="15">
        <f t="shared" si="21"/>
        <v>62.162276172922262</v>
      </c>
      <c r="M54" s="15">
        <f t="shared" si="22"/>
        <v>-90</v>
      </c>
      <c r="N54" s="15">
        <f t="shared" si="23"/>
        <v>0</v>
      </c>
      <c r="O54" s="15">
        <f t="shared" si="24"/>
        <v>-90</v>
      </c>
      <c r="P54" s="15">
        <f t="shared" si="25"/>
        <v>0</v>
      </c>
      <c r="Q54" s="15">
        <f t="shared" si="26"/>
        <v>90</v>
      </c>
      <c r="R54" s="16">
        <f t="shared" si="19"/>
        <v>-27.837723827077738</v>
      </c>
    </row>
    <row r="55" spans="2:18">
      <c r="B55" s="9">
        <v>50118.723362727294</v>
      </c>
      <c r="C55" s="15">
        <f t="shared" si="20"/>
        <v>62.162276172922262</v>
      </c>
      <c r="D55" s="15">
        <f t="shared" si="20"/>
        <v>-22</v>
      </c>
      <c r="E55" s="15">
        <f t="shared" si="20"/>
        <v>0</v>
      </c>
      <c r="F55" s="15">
        <f t="shared" si="20"/>
        <v>-68</v>
      </c>
      <c r="G55" s="15">
        <f t="shared" si="20"/>
        <v>0</v>
      </c>
      <c r="H55" s="15">
        <f t="shared" si="20"/>
        <v>22</v>
      </c>
      <c r="I55" s="20">
        <f t="shared" si="17"/>
        <v>-5.8377238270777383</v>
      </c>
      <c r="J55" s="3" t="str">
        <f t="shared" si="18"/>
        <v>0</v>
      </c>
      <c r="K55" s="9">
        <v>50118.723362727294</v>
      </c>
      <c r="L55" s="15">
        <f t="shared" si="21"/>
        <v>62.162276172922262</v>
      </c>
      <c r="M55" s="15">
        <f t="shared" si="22"/>
        <v>-90</v>
      </c>
      <c r="N55" s="15">
        <f t="shared" si="23"/>
        <v>0</v>
      </c>
      <c r="O55" s="15">
        <f t="shared" si="24"/>
        <v>-90</v>
      </c>
      <c r="P55" s="15">
        <f t="shared" si="25"/>
        <v>0</v>
      </c>
      <c r="Q55" s="15">
        <f t="shared" si="26"/>
        <v>90</v>
      </c>
      <c r="R55" s="16">
        <f t="shared" si="19"/>
        <v>-27.837723827077738</v>
      </c>
    </row>
    <row r="56" spans="2:18">
      <c r="B56" s="9">
        <v>63095.734448019459</v>
      </c>
      <c r="C56" s="15">
        <f t="shared" si="20"/>
        <v>62.162276172922262</v>
      </c>
      <c r="D56" s="15">
        <f t="shared" si="20"/>
        <v>-24</v>
      </c>
      <c r="E56" s="15">
        <f t="shared" si="20"/>
        <v>0</v>
      </c>
      <c r="F56" s="15">
        <f t="shared" si="20"/>
        <v>-70</v>
      </c>
      <c r="G56" s="15">
        <f t="shared" si="20"/>
        <v>0</v>
      </c>
      <c r="H56" s="15">
        <f t="shared" si="20"/>
        <v>24</v>
      </c>
      <c r="I56" s="20">
        <f t="shared" si="17"/>
        <v>-7.8377238270777383</v>
      </c>
      <c r="J56" s="3" t="str">
        <f t="shared" si="18"/>
        <v>0</v>
      </c>
      <c r="K56" s="9">
        <v>63095.734448019459</v>
      </c>
      <c r="L56" s="15">
        <f t="shared" si="21"/>
        <v>62.162276172922262</v>
      </c>
      <c r="M56" s="15">
        <f t="shared" si="22"/>
        <v>-90</v>
      </c>
      <c r="N56" s="15">
        <f t="shared" si="23"/>
        <v>0</v>
      </c>
      <c r="O56" s="15">
        <f t="shared" si="24"/>
        <v>-90</v>
      </c>
      <c r="P56" s="15">
        <f t="shared" si="25"/>
        <v>0</v>
      </c>
      <c r="Q56" s="15">
        <f t="shared" si="26"/>
        <v>90</v>
      </c>
      <c r="R56" s="16">
        <f t="shared" si="19"/>
        <v>-27.837723827077738</v>
      </c>
    </row>
    <row r="57" spans="2:18">
      <c r="B57" s="9">
        <v>79432.823472428237</v>
      </c>
      <c r="C57" s="15">
        <f t="shared" ref="C57:H69" si="27">IF(OR(ISNUMBER(C$4),ISNUMBER(C$5)),IF(ISNUMBER(C$4),IF($B57&gt;C$4,C56-2,C56),IF($B57&gt;C$5,C56+2,C56)),C56)</f>
        <v>62.162276172922262</v>
      </c>
      <c r="D57" s="15">
        <f t="shared" si="27"/>
        <v>-26</v>
      </c>
      <c r="E57" s="15">
        <f t="shared" si="27"/>
        <v>0</v>
      </c>
      <c r="F57" s="15">
        <f t="shared" si="27"/>
        <v>-72</v>
      </c>
      <c r="G57" s="15">
        <f t="shared" si="27"/>
        <v>0</v>
      </c>
      <c r="H57" s="15">
        <f t="shared" si="27"/>
        <v>26</v>
      </c>
      <c r="I57" s="20">
        <f t="shared" si="17"/>
        <v>-9.8377238270777383</v>
      </c>
      <c r="J57" s="3" t="str">
        <f t="shared" si="18"/>
        <v>0</v>
      </c>
      <c r="K57" s="9">
        <v>79432.823472428237</v>
      </c>
      <c r="L57" s="15">
        <f t="shared" si="21"/>
        <v>62.162276172922262</v>
      </c>
      <c r="M57" s="15">
        <f t="shared" si="22"/>
        <v>-90</v>
      </c>
      <c r="N57" s="15">
        <f t="shared" si="23"/>
        <v>0</v>
      </c>
      <c r="O57" s="15">
        <f t="shared" si="24"/>
        <v>-90</v>
      </c>
      <c r="P57" s="15">
        <f t="shared" si="25"/>
        <v>0</v>
      </c>
      <c r="Q57" s="15">
        <f t="shared" si="26"/>
        <v>90</v>
      </c>
      <c r="R57" s="16">
        <f t="shared" si="19"/>
        <v>-27.837723827077738</v>
      </c>
    </row>
    <row r="58" spans="2:18">
      <c r="B58" s="9">
        <v>100000</v>
      </c>
      <c r="C58" s="15">
        <f t="shared" si="27"/>
        <v>62.162276172922262</v>
      </c>
      <c r="D58" s="15">
        <f t="shared" si="27"/>
        <v>-28</v>
      </c>
      <c r="E58" s="15">
        <f t="shared" si="27"/>
        <v>0</v>
      </c>
      <c r="F58" s="15">
        <f t="shared" si="27"/>
        <v>-74</v>
      </c>
      <c r="G58" s="15">
        <f t="shared" si="27"/>
        <v>0</v>
      </c>
      <c r="H58" s="15">
        <f t="shared" si="27"/>
        <v>28</v>
      </c>
      <c r="I58" s="20">
        <f t="shared" si="17"/>
        <v>-11.837723827077738</v>
      </c>
      <c r="J58" s="3" t="str">
        <f t="shared" si="18"/>
        <v>0</v>
      </c>
      <c r="K58" s="9">
        <v>100000</v>
      </c>
      <c r="L58" s="15">
        <f t="shared" si="21"/>
        <v>62.162276172922262</v>
      </c>
      <c r="M58" s="15">
        <f t="shared" si="22"/>
        <v>-90</v>
      </c>
      <c r="N58" s="15">
        <f t="shared" si="23"/>
        <v>0</v>
      </c>
      <c r="O58" s="15">
        <f t="shared" si="24"/>
        <v>-90</v>
      </c>
      <c r="P58" s="15">
        <f t="shared" si="25"/>
        <v>0</v>
      </c>
      <c r="Q58" s="15">
        <f t="shared" si="26"/>
        <v>90</v>
      </c>
      <c r="R58" s="16">
        <f t="shared" si="19"/>
        <v>-27.837723827077738</v>
      </c>
    </row>
    <row r="59" spans="2:18">
      <c r="B59" s="9">
        <v>125892.54117941708</v>
      </c>
      <c r="C59" s="15">
        <f t="shared" si="27"/>
        <v>62.162276172922262</v>
      </c>
      <c r="D59" s="15">
        <f t="shared" si="27"/>
        <v>-30</v>
      </c>
      <c r="E59" s="15">
        <f t="shared" si="27"/>
        <v>0</v>
      </c>
      <c r="F59" s="15">
        <f t="shared" si="27"/>
        <v>-76</v>
      </c>
      <c r="G59" s="15">
        <f t="shared" si="27"/>
        <v>0</v>
      </c>
      <c r="H59" s="15">
        <f t="shared" si="27"/>
        <v>30</v>
      </c>
      <c r="I59" s="20">
        <f t="shared" si="17"/>
        <v>-13.837723827077738</v>
      </c>
      <c r="J59" s="3" t="str">
        <f t="shared" si="18"/>
        <v>0</v>
      </c>
      <c r="K59" s="9">
        <v>125892.54117941708</v>
      </c>
      <c r="L59" s="15">
        <f t="shared" si="21"/>
        <v>62.162276172922262</v>
      </c>
      <c r="M59" s="15">
        <f t="shared" si="22"/>
        <v>-90</v>
      </c>
      <c r="N59" s="15">
        <f t="shared" si="23"/>
        <v>4.5</v>
      </c>
      <c r="O59" s="15">
        <f t="shared" si="24"/>
        <v>-90</v>
      </c>
      <c r="P59" s="15">
        <f t="shared" si="25"/>
        <v>-4.5</v>
      </c>
      <c r="Q59" s="15">
        <f t="shared" si="26"/>
        <v>90</v>
      </c>
      <c r="R59" s="16">
        <f t="shared" si="19"/>
        <v>-27.837723827077738</v>
      </c>
    </row>
    <row r="60" spans="2:18">
      <c r="B60" s="9">
        <v>158489.31924611164</v>
      </c>
      <c r="C60" s="15">
        <f t="shared" si="27"/>
        <v>62.162276172922262</v>
      </c>
      <c r="D60" s="15">
        <f t="shared" si="27"/>
        <v>-32</v>
      </c>
      <c r="E60" s="15">
        <f t="shared" si="27"/>
        <v>0</v>
      </c>
      <c r="F60" s="15">
        <f t="shared" si="27"/>
        <v>-78</v>
      </c>
      <c r="G60" s="15">
        <f t="shared" si="27"/>
        <v>0</v>
      </c>
      <c r="H60" s="15">
        <f t="shared" si="27"/>
        <v>32</v>
      </c>
      <c r="I60" s="20">
        <f t="shared" si="17"/>
        <v>-15.837723827077738</v>
      </c>
      <c r="J60" s="3" t="str">
        <f t="shared" si="18"/>
        <v>0</v>
      </c>
      <c r="K60" s="9">
        <v>158489.31924611164</v>
      </c>
      <c r="L60" s="15">
        <f t="shared" si="21"/>
        <v>62.162276172922262</v>
      </c>
      <c r="M60" s="15">
        <f t="shared" si="22"/>
        <v>-90</v>
      </c>
      <c r="N60" s="15">
        <f t="shared" si="23"/>
        <v>9</v>
      </c>
      <c r="O60" s="15">
        <f t="shared" si="24"/>
        <v>-90</v>
      </c>
      <c r="P60" s="15">
        <f t="shared" si="25"/>
        <v>-9</v>
      </c>
      <c r="Q60" s="15">
        <f t="shared" si="26"/>
        <v>90</v>
      </c>
      <c r="R60" s="16">
        <f t="shared" si="19"/>
        <v>-27.837723827077738</v>
      </c>
    </row>
    <row r="61" spans="2:18">
      <c r="B61" s="9">
        <v>199526.2314968885</v>
      </c>
      <c r="C61" s="15">
        <f t="shared" si="27"/>
        <v>62.162276172922262</v>
      </c>
      <c r="D61" s="15">
        <f t="shared" si="27"/>
        <v>-34</v>
      </c>
      <c r="E61" s="15">
        <f t="shared" si="27"/>
        <v>0</v>
      </c>
      <c r="F61" s="15">
        <f t="shared" si="27"/>
        <v>-80</v>
      </c>
      <c r="G61" s="15">
        <f t="shared" si="27"/>
        <v>0</v>
      </c>
      <c r="H61" s="15">
        <f t="shared" si="27"/>
        <v>34</v>
      </c>
      <c r="I61" s="20">
        <f t="shared" si="17"/>
        <v>-17.837723827077738</v>
      </c>
      <c r="J61" s="3" t="str">
        <f t="shared" si="18"/>
        <v>0</v>
      </c>
      <c r="K61" s="9">
        <v>199526.2314968885</v>
      </c>
      <c r="L61" s="15">
        <f t="shared" si="21"/>
        <v>62.162276172922262</v>
      </c>
      <c r="M61" s="15">
        <f t="shared" si="22"/>
        <v>-90</v>
      </c>
      <c r="N61" s="15">
        <f t="shared" si="23"/>
        <v>13.5</v>
      </c>
      <c r="O61" s="15">
        <f t="shared" si="24"/>
        <v>-90</v>
      </c>
      <c r="P61" s="15">
        <f t="shared" si="25"/>
        <v>-13.5</v>
      </c>
      <c r="Q61" s="15">
        <f t="shared" si="26"/>
        <v>90</v>
      </c>
      <c r="R61" s="16">
        <f t="shared" si="19"/>
        <v>-27.837723827077738</v>
      </c>
    </row>
    <row r="62" spans="2:18">
      <c r="B62" s="9">
        <v>251188.64315095844</v>
      </c>
      <c r="C62" s="15">
        <f t="shared" si="27"/>
        <v>62.162276172922262</v>
      </c>
      <c r="D62" s="15">
        <f t="shared" si="27"/>
        <v>-36</v>
      </c>
      <c r="E62" s="15">
        <f t="shared" si="27"/>
        <v>0</v>
      </c>
      <c r="F62" s="15">
        <f t="shared" si="27"/>
        <v>-82</v>
      </c>
      <c r="G62" s="15">
        <f t="shared" si="27"/>
        <v>0</v>
      </c>
      <c r="H62" s="15">
        <f t="shared" si="27"/>
        <v>36</v>
      </c>
      <c r="I62" s="20">
        <f t="shared" si="17"/>
        <v>-19.837723827077738</v>
      </c>
      <c r="J62" s="3" t="str">
        <f t="shared" si="18"/>
        <v>0</v>
      </c>
      <c r="K62" s="9">
        <v>251188.64315095844</v>
      </c>
      <c r="L62" s="15">
        <f t="shared" si="21"/>
        <v>62.162276172922262</v>
      </c>
      <c r="M62" s="15">
        <f t="shared" si="22"/>
        <v>-90</v>
      </c>
      <c r="N62" s="15">
        <f t="shared" si="23"/>
        <v>18</v>
      </c>
      <c r="O62" s="15">
        <f t="shared" si="24"/>
        <v>-90</v>
      </c>
      <c r="P62" s="15">
        <f t="shared" si="25"/>
        <v>-18</v>
      </c>
      <c r="Q62" s="15">
        <f t="shared" si="26"/>
        <v>90</v>
      </c>
      <c r="R62" s="16">
        <f t="shared" si="19"/>
        <v>-27.837723827077738</v>
      </c>
    </row>
    <row r="63" spans="2:18">
      <c r="B63" s="9">
        <v>316227.7660168382</v>
      </c>
      <c r="C63" s="15">
        <f t="shared" si="27"/>
        <v>62.162276172922262</v>
      </c>
      <c r="D63" s="15">
        <f t="shared" si="27"/>
        <v>-38</v>
      </c>
      <c r="E63" s="15">
        <f t="shared" si="27"/>
        <v>0</v>
      </c>
      <c r="F63" s="15">
        <f t="shared" si="27"/>
        <v>-84</v>
      </c>
      <c r="G63" s="15">
        <f t="shared" si="27"/>
        <v>0</v>
      </c>
      <c r="H63" s="15">
        <f t="shared" si="27"/>
        <v>38</v>
      </c>
      <c r="I63" s="20">
        <f t="shared" si="17"/>
        <v>-21.837723827077738</v>
      </c>
      <c r="J63" s="3" t="str">
        <f t="shared" si="18"/>
        <v>0</v>
      </c>
      <c r="K63" s="9">
        <v>316227.7660168382</v>
      </c>
      <c r="L63" s="15">
        <f t="shared" si="21"/>
        <v>62.162276172922262</v>
      </c>
      <c r="M63" s="15">
        <f t="shared" si="22"/>
        <v>-90</v>
      </c>
      <c r="N63" s="15">
        <f t="shared" si="23"/>
        <v>22.5</v>
      </c>
      <c r="O63" s="15">
        <f t="shared" si="24"/>
        <v>-90</v>
      </c>
      <c r="P63" s="15">
        <f t="shared" si="25"/>
        <v>-22.5</v>
      </c>
      <c r="Q63" s="15">
        <f t="shared" si="26"/>
        <v>90</v>
      </c>
      <c r="R63" s="16">
        <f t="shared" si="19"/>
        <v>-27.837723827077738</v>
      </c>
    </row>
    <row r="64" spans="2:18">
      <c r="B64" s="9">
        <v>398107.17055349785</v>
      </c>
      <c r="C64" s="15">
        <f t="shared" si="27"/>
        <v>62.162276172922262</v>
      </c>
      <c r="D64" s="15">
        <f t="shared" si="27"/>
        <v>-40</v>
      </c>
      <c r="E64" s="15">
        <f t="shared" si="27"/>
        <v>0</v>
      </c>
      <c r="F64" s="15">
        <f t="shared" si="27"/>
        <v>-86</v>
      </c>
      <c r="G64" s="15">
        <f t="shared" si="27"/>
        <v>0</v>
      </c>
      <c r="H64" s="15">
        <f t="shared" si="27"/>
        <v>40</v>
      </c>
      <c r="I64" s="20">
        <f t="shared" si="17"/>
        <v>-23.837723827077738</v>
      </c>
      <c r="J64" s="3" t="str">
        <f t="shared" si="18"/>
        <v>0</v>
      </c>
      <c r="K64" s="9">
        <v>398107.17055349785</v>
      </c>
      <c r="L64" s="15">
        <f t="shared" si="21"/>
        <v>62.162276172922262</v>
      </c>
      <c r="M64" s="15">
        <f t="shared" si="22"/>
        <v>-90</v>
      </c>
      <c r="N64" s="15">
        <f t="shared" si="23"/>
        <v>27</v>
      </c>
      <c r="O64" s="15">
        <f t="shared" si="24"/>
        <v>-90</v>
      </c>
      <c r="P64" s="15">
        <f t="shared" si="25"/>
        <v>-27</v>
      </c>
      <c r="Q64" s="15">
        <f t="shared" si="26"/>
        <v>90</v>
      </c>
      <c r="R64" s="16">
        <f t="shared" si="19"/>
        <v>-27.837723827077738</v>
      </c>
    </row>
    <row r="65" spans="2:18">
      <c r="B65" s="9">
        <v>501187.23362727347</v>
      </c>
      <c r="C65" s="15">
        <f t="shared" si="27"/>
        <v>62.162276172922262</v>
      </c>
      <c r="D65" s="15">
        <f t="shared" si="27"/>
        <v>-42</v>
      </c>
      <c r="E65" s="15">
        <f t="shared" si="27"/>
        <v>0</v>
      </c>
      <c r="F65" s="15">
        <f t="shared" si="27"/>
        <v>-88</v>
      </c>
      <c r="G65" s="15">
        <f t="shared" si="27"/>
        <v>0</v>
      </c>
      <c r="H65" s="15">
        <f t="shared" si="27"/>
        <v>42</v>
      </c>
      <c r="I65" s="20">
        <f t="shared" si="17"/>
        <v>-25.837723827077738</v>
      </c>
      <c r="J65" s="3" t="str">
        <f t="shared" si="18"/>
        <v>0</v>
      </c>
      <c r="K65" s="9">
        <v>501187.23362727347</v>
      </c>
      <c r="L65" s="15">
        <f t="shared" si="21"/>
        <v>62.162276172922262</v>
      </c>
      <c r="M65" s="15">
        <f t="shared" si="22"/>
        <v>-90</v>
      </c>
      <c r="N65" s="15">
        <f t="shared" si="23"/>
        <v>31.5</v>
      </c>
      <c r="O65" s="15">
        <f t="shared" si="24"/>
        <v>-90</v>
      </c>
      <c r="P65" s="15">
        <f t="shared" si="25"/>
        <v>-31.5</v>
      </c>
      <c r="Q65" s="15">
        <f t="shared" si="26"/>
        <v>90</v>
      </c>
      <c r="R65" s="16">
        <f t="shared" si="19"/>
        <v>-27.837723827077738</v>
      </c>
    </row>
    <row r="66" spans="2:18">
      <c r="B66" s="9">
        <v>630957.34448019532</v>
      </c>
      <c r="C66" s="15">
        <f t="shared" si="27"/>
        <v>62.162276172922262</v>
      </c>
      <c r="D66" s="15">
        <f t="shared" si="27"/>
        <v>-44</v>
      </c>
      <c r="E66" s="15">
        <f t="shared" si="27"/>
        <v>0</v>
      </c>
      <c r="F66" s="15">
        <f t="shared" si="27"/>
        <v>-90</v>
      </c>
      <c r="G66" s="15">
        <f t="shared" si="27"/>
        <v>0</v>
      </c>
      <c r="H66" s="15">
        <f t="shared" si="27"/>
        <v>44</v>
      </c>
      <c r="I66" s="20">
        <f t="shared" si="17"/>
        <v>-27.837723827077738</v>
      </c>
      <c r="J66" s="3" t="str">
        <f t="shared" si="18"/>
        <v>0</v>
      </c>
      <c r="K66" s="9">
        <v>630957.34448019532</v>
      </c>
      <c r="L66" s="15">
        <f t="shared" si="21"/>
        <v>62.162276172922262</v>
      </c>
      <c r="M66" s="15">
        <f t="shared" si="22"/>
        <v>-90</v>
      </c>
      <c r="N66" s="15">
        <f t="shared" si="23"/>
        <v>36</v>
      </c>
      <c r="O66" s="15">
        <f t="shared" si="24"/>
        <v>-90</v>
      </c>
      <c r="P66" s="15">
        <f t="shared" si="25"/>
        <v>-36</v>
      </c>
      <c r="Q66" s="15">
        <f t="shared" si="26"/>
        <v>90</v>
      </c>
      <c r="R66" s="16">
        <f t="shared" si="19"/>
        <v>-27.837723827077738</v>
      </c>
    </row>
    <row r="67" spans="2:18">
      <c r="B67" s="9">
        <v>794328.23472428333</v>
      </c>
      <c r="C67" s="15">
        <f t="shared" si="27"/>
        <v>62.162276172922262</v>
      </c>
      <c r="D67" s="15">
        <f t="shared" si="27"/>
        <v>-46</v>
      </c>
      <c r="E67" s="15">
        <f t="shared" si="27"/>
        <v>0</v>
      </c>
      <c r="F67" s="15">
        <f t="shared" si="27"/>
        <v>-92</v>
      </c>
      <c r="G67" s="15">
        <f t="shared" si="27"/>
        <v>0</v>
      </c>
      <c r="H67" s="15">
        <f t="shared" si="27"/>
        <v>46</v>
      </c>
      <c r="I67" s="20">
        <f t="shared" si="17"/>
        <v>-29.837723827077738</v>
      </c>
      <c r="J67" s="3" t="str">
        <f t="shared" si="18"/>
        <v>0</v>
      </c>
      <c r="K67" s="9">
        <v>794328.23472428333</v>
      </c>
      <c r="L67" s="15">
        <f t="shared" si="21"/>
        <v>62.162276172922262</v>
      </c>
      <c r="M67" s="15">
        <f t="shared" si="22"/>
        <v>-90</v>
      </c>
      <c r="N67" s="15">
        <f t="shared" si="23"/>
        <v>40.5</v>
      </c>
      <c r="O67" s="15">
        <f t="shared" si="24"/>
        <v>-90</v>
      </c>
      <c r="P67" s="15">
        <f t="shared" si="25"/>
        <v>-40.5</v>
      </c>
      <c r="Q67" s="15">
        <f t="shared" si="26"/>
        <v>90</v>
      </c>
      <c r="R67" s="16">
        <f t="shared" si="19"/>
        <v>-27.837723827077738</v>
      </c>
    </row>
    <row r="68" spans="2:18">
      <c r="B68" s="9">
        <v>1000000</v>
      </c>
      <c r="C68" s="15">
        <f t="shared" si="27"/>
        <v>62.162276172922262</v>
      </c>
      <c r="D68" s="15">
        <f t="shared" si="27"/>
        <v>-48</v>
      </c>
      <c r="E68" s="15">
        <f t="shared" si="27"/>
        <v>0</v>
      </c>
      <c r="F68" s="15">
        <f t="shared" si="27"/>
        <v>-94</v>
      </c>
      <c r="G68" s="15">
        <f t="shared" si="27"/>
        <v>0</v>
      </c>
      <c r="H68" s="15">
        <f t="shared" si="27"/>
        <v>48</v>
      </c>
      <c r="I68" s="20">
        <f t="shared" si="17"/>
        <v>-31.837723827077738</v>
      </c>
      <c r="J68" s="3" t="str">
        <f t="shared" si="18"/>
        <v>0</v>
      </c>
      <c r="K68" s="9">
        <v>1000000</v>
      </c>
      <c r="L68" s="15">
        <f t="shared" si="21"/>
        <v>62.162276172922262</v>
      </c>
      <c r="M68" s="15">
        <f t="shared" si="22"/>
        <v>-90</v>
      </c>
      <c r="N68" s="15">
        <f t="shared" si="23"/>
        <v>45</v>
      </c>
      <c r="O68" s="15">
        <f t="shared" si="24"/>
        <v>-90</v>
      </c>
      <c r="P68" s="15">
        <f t="shared" si="25"/>
        <v>-45</v>
      </c>
      <c r="Q68" s="15">
        <f t="shared" si="26"/>
        <v>90</v>
      </c>
      <c r="R68" s="16">
        <f t="shared" si="19"/>
        <v>-27.837723827077738</v>
      </c>
    </row>
    <row r="69" spans="2:18" ht="15.75" thickBot="1">
      <c r="B69" s="10">
        <v>1258925.4117941698</v>
      </c>
      <c r="C69" s="15">
        <f t="shared" si="27"/>
        <v>62.162276172922262</v>
      </c>
      <c r="D69" s="15">
        <f t="shared" si="27"/>
        <v>-50</v>
      </c>
      <c r="E69" s="15">
        <f t="shared" si="27"/>
        <v>2</v>
      </c>
      <c r="F69" s="15">
        <f t="shared" si="27"/>
        <v>-96</v>
      </c>
      <c r="G69" s="15">
        <f t="shared" si="27"/>
        <v>-2</v>
      </c>
      <c r="H69" s="15">
        <f t="shared" si="27"/>
        <v>50</v>
      </c>
      <c r="I69" s="21">
        <f t="shared" si="17"/>
        <v>-33.837723827077738</v>
      </c>
      <c r="J69" s="3" t="str">
        <f t="shared" si="18"/>
        <v>0</v>
      </c>
      <c r="K69" s="10">
        <v>1258925.4117941698</v>
      </c>
      <c r="L69" s="15">
        <f t="shared" si="21"/>
        <v>62.162276172922262</v>
      </c>
      <c r="M69" s="15">
        <f t="shared" si="22"/>
        <v>-90</v>
      </c>
      <c r="N69" s="15">
        <f t="shared" si="23"/>
        <v>49.5</v>
      </c>
      <c r="O69" s="15">
        <f t="shared" si="24"/>
        <v>-90</v>
      </c>
      <c r="P69" s="15">
        <f t="shared" si="25"/>
        <v>-49.5</v>
      </c>
      <c r="Q69" s="15">
        <f t="shared" si="26"/>
        <v>90</v>
      </c>
      <c r="R69" s="17">
        <f t="shared" si="19"/>
        <v>-27.837723827077738</v>
      </c>
    </row>
  </sheetData>
  <sheetProtection password="CB4D" sheet="1" objects="1" scenarios="1"/>
  <pageMargins left="0.7" right="0.7" top="0.75" bottom="0.75" header="0.3" footer="0.3"/>
  <pageSetup scale="71"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Instructions</vt:lpstr>
      <vt:lpstr>Existing Design</vt:lpstr>
      <vt:lpstr>GP Calcs</vt:lpstr>
      <vt:lpstr>New Comp Design</vt:lpstr>
      <vt:lpstr>GP Calcs (2)</vt:lpstr>
      <vt:lpstr>AIea_</vt:lpstr>
      <vt:lpstr>AImod_</vt:lpstr>
      <vt:lpstr>AVdiv_</vt:lpstr>
      <vt:lpstr>AVea_</vt:lpstr>
      <vt:lpstr>AVmodDC_</vt:lpstr>
      <vt:lpstr>AVtotDC_</vt:lpstr>
      <vt:lpstr>Cc_</vt:lpstr>
      <vt:lpstr>Co_</vt:lpstr>
      <vt:lpstr>ESR_</vt:lpstr>
      <vt:lpstr>Fco_</vt:lpstr>
      <vt:lpstr>Fpco_</vt:lpstr>
      <vt:lpstr>FPea1_</vt:lpstr>
      <vt:lpstr>FPea2_</vt:lpstr>
      <vt:lpstr>FPo_</vt:lpstr>
      <vt:lpstr>Fzea_</vt:lpstr>
      <vt:lpstr>Fzo_</vt:lpstr>
      <vt:lpstr>GtotDC_</vt:lpstr>
      <vt:lpstr>Iomax_</vt:lpstr>
      <vt:lpstr>RCx_</vt:lpstr>
      <vt:lpstr>Rld_</vt:lpstr>
      <vt:lpstr>Rlim_</vt:lpstr>
      <vt:lpstr>V0ut_</vt:lpstr>
      <vt:lpstr>Vout_</vt:lpstr>
      <vt:lpstr>Vref_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ronb</dc:creator>
  <cp:lastModifiedBy>Ronald Berthiaume</cp:lastModifiedBy>
  <cp:lastPrinted>2013-04-23T01:03:10Z</cp:lastPrinted>
  <dcterms:created xsi:type="dcterms:W3CDTF">2013-03-01T04:06:27Z</dcterms:created>
  <dcterms:modified xsi:type="dcterms:W3CDTF">2013-04-23T01:32:40Z</dcterms:modified>
</cp:coreProperties>
</file>